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en_skoroszyt" defaultThemeVersion="124226"/>
  <bookViews>
    <workbookView xWindow="10230" yWindow="45" windowWidth="10260" windowHeight="7755" tabRatio="785"/>
  </bookViews>
  <sheets>
    <sheet name="Kluczowe informacje_Key data" sheetId="24" r:id="rId1"/>
    <sheet name="RZiS_P&amp;L" sheetId="25" r:id="rId2"/>
    <sheet name="RZiS B. Korp._P&amp;L Corporate" sheetId="42" r:id="rId3"/>
    <sheet name="RZiS B. Detaliczna_P&amp;L Retail" sheetId="26" r:id="rId4"/>
    <sheet name="Wynik odsetkowy_Interest income" sheetId="28" r:id="rId5"/>
    <sheet name="Marża odsetkowa_NIM" sheetId="51" r:id="rId6"/>
    <sheet name="Wynik prowizyjny_F&amp;C income" sheetId="29" r:id="rId7"/>
    <sheet name="Pozost. przychody_Other income" sheetId="30" r:id="rId8"/>
    <sheet name="Koszty działania_Operating cost" sheetId="43" r:id="rId9"/>
    <sheet name="Koszty ryzyka_Cost of risk" sheetId="52" r:id="rId10"/>
    <sheet name="Bilans_BS" sheetId="44" r:id="rId11"/>
    <sheet name="Kredyty_loans" sheetId="46" r:id="rId12"/>
    <sheet name="Jakość portfela_Portf. quality" sheetId="50" r:id="rId13"/>
    <sheet name="Aktywa finans_Financial assets" sheetId="47" r:id="rId14"/>
    <sheet name="Depozyty_Deposits" sheetId="49" r:id="rId15"/>
    <sheet name="Łączny współ kap_TCR_GROUP" sheetId="41" r:id="rId16"/>
    <sheet name="Pozostałe informacje_other info" sheetId="36" r:id="rId17"/>
    <sheet name="Depozyty i zobow_Deposits_old" sheetId="35" r:id="rId18"/>
    <sheet name="Kredyty_loans_old" sheetId="32" r:id="rId19"/>
  </sheets>
  <definedNames>
    <definedName name="_AMO_UniqueIdentifier" hidden="1">"'7fbdc4b5-972f-4100-9e99-b44859b6f5b1'"</definedName>
    <definedName name="_xlnm.Print_Area" localSheetId="13">'Aktywa finans_Financial assets'!$A$1:$BF$29</definedName>
    <definedName name="_xlnm.Print_Area" localSheetId="10">Bilans_BS!$A$1:$BF$47</definedName>
    <definedName name="_xlnm.Print_Area" localSheetId="17">'Depozyty i zobow_Deposits_old'!$A$1:$AT$41</definedName>
    <definedName name="_xlnm.Print_Area" localSheetId="14">Depozyty_Deposits!$A$1:$BF$26</definedName>
    <definedName name="_xlnm.Print_Area" localSheetId="12">'Jakość portfela_Portf. quality'!$A$1:$BF$100</definedName>
    <definedName name="_xlnm.Print_Area" localSheetId="0">'Kluczowe informacje_Key data'!$A$1:$BF$58</definedName>
    <definedName name="_xlnm.Print_Area" localSheetId="8">'Koszty działania_Operating cost'!$A$1:$BF$15</definedName>
    <definedName name="_xlnm.Print_Area" localSheetId="9">'Koszty ryzyka_Cost of risk'!$A$1:$BF$24</definedName>
    <definedName name="_xlnm.Print_Area" localSheetId="11">Kredyty_loans!$A$1:$BF$82</definedName>
    <definedName name="_xlnm.Print_Area" localSheetId="18">Kredyty_loans_old!$A$1:$AT$91</definedName>
    <definedName name="_xlnm.Print_Area" localSheetId="15">'Łączny współ kap_TCR_GROUP'!$A$1:$BF$71</definedName>
    <definedName name="_xlnm.Print_Area" localSheetId="5">'Marża odsetkowa_NIM'!$A$1:$BF$30</definedName>
    <definedName name="_xlnm.Print_Area" localSheetId="7">'Pozost. przychody_Other income'!$A$1:$BF$33</definedName>
    <definedName name="_xlnm.Print_Area" localSheetId="16">'Pozostałe informacje_other info'!$A$1:$BF$26</definedName>
    <definedName name="_xlnm.Print_Area" localSheetId="3">'RZiS B. Detaliczna_P&amp;L Retail'!$A$1:$BF$19</definedName>
    <definedName name="_xlnm.Print_Area" localSheetId="2">'RZiS B. Korp._P&amp;L Corporate'!$A$1:$BF$19</definedName>
    <definedName name="_xlnm.Print_Area" localSheetId="1">'RZiS_P&amp;L'!$A$1:$BF$42</definedName>
    <definedName name="_xlnm.Print_Area" localSheetId="4">'Wynik odsetkowy_Interest income'!$A$1:$BF$29</definedName>
    <definedName name="_xlnm.Print_Area" localSheetId="6">'Wynik prowizyjny_F&amp;C income'!$A$1:$BF$27</definedName>
  </definedNames>
  <calcPr calcId="162913"/>
</workbook>
</file>

<file path=xl/calcChain.xml><?xml version="1.0" encoding="utf-8"?>
<calcChain xmlns="http://schemas.openxmlformats.org/spreadsheetml/2006/main">
  <c r="BD36" i="24" l="1"/>
  <c r="BE36" i="24"/>
  <c r="BF36" i="24"/>
  <c r="BC36" i="24"/>
  <c r="AZ36" i="24"/>
  <c r="BA36" i="24"/>
  <c r="BB36" i="24"/>
  <c r="AY36" i="24"/>
  <c r="AV32" i="25" l="1"/>
  <c r="BD32" i="25"/>
  <c r="AU32" i="25"/>
  <c r="AW32" i="25"/>
  <c r="AX32" i="25"/>
  <c r="AY32" i="25"/>
  <c r="AZ32" i="25"/>
  <c r="BA32" i="25"/>
  <c r="BB32" i="25"/>
  <c r="BC32" i="25"/>
  <c r="BE32" i="25"/>
  <c r="AW37" i="25"/>
  <c r="BE37" i="25"/>
  <c r="AU37" i="25"/>
  <c r="AV37" i="25"/>
  <c r="AX37" i="25"/>
  <c r="AY37" i="25"/>
  <c r="AZ37" i="25"/>
  <c r="BA37" i="25"/>
  <c r="BB37" i="25"/>
  <c r="BC37" i="25"/>
  <c r="BD37" i="25"/>
  <c r="BF32" i="25"/>
  <c r="AZ31" i="25" l="1"/>
  <c r="AW31" i="25"/>
  <c r="BE31" i="25"/>
  <c r="BB31" i="25"/>
  <c r="AV31" i="25"/>
  <c r="BC31" i="25"/>
  <c r="AU31" i="25"/>
  <c r="BD31" i="25"/>
  <c r="BA31" i="25"/>
  <c r="AY31" i="25"/>
  <c r="AX31" i="25"/>
  <c r="BF37" i="25"/>
  <c r="BF31" i="25" s="1"/>
  <c r="AT27" i="28" l="1"/>
  <c r="AS27" i="28"/>
  <c r="AR27" i="28"/>
  <c r="AQ27" i="28"/>
  <c r="AT18" i="28"/>
  <c r="AT29" i="28" s="1"/>
  <c r="AS18" i="28"/>
  <c r="AR18" i="28"/>
  <c r="AQ18" i="28"/>
  <c r="AS29" i="28" l="1"/>
  <c r="AQ29" i="28"/>
  <c r="AR29" i="28"/>
  <c r="BF17" i="36"/>
  <c r="BF51" i="24"/>
  <c r="BF19" i="47"/>
  <c r="BF22" i="47"/>
  <c r="AX17" i="47"/>
  <c r="BF17" i="47"/>
  <c r="BF15" i="52"/>
  <c r="BF9" i="52"/>
  <c r="BF10" i="52"/>
  <c r="BF31" i="30"/>
  <c r="BF28" i="30"/>
  <c r="BF26" i="30"/>
  <c r="BF5" i="30"/>
  <c r="BF17" i="30" s="1"/>
  <c r="BF27" i="28"/>
  <c r="BF21" i="51" s="1"/>
  <c r="BF10" i="28"/>
  <c r="BF5" i="28"/>
  <c r="BF10" i="26"/>
  <c r="BF5" i="26"/>
  <c r="BF10" i="42"/>
  <c r="BF5" i="42"/>
  <c r="BF8" i="24"/>
  <c r="BF12" i="25"/>
  <c r="BF9" i="25"/>
  <c r="AV6" i="25"/>
  <c r="AW6" i="25"/>
  <c r="AX6" i="25"/>
  <c r="AY6" i="25"/>
  <c r="AZ6" i="25"/>
  <c r="BA6" i="25"/>
  <c r="BB6" i="25"/>
  <c r="BC6" i="25"/>
  <c r="BD6" i="25"/>
  <c r="BE6" i="25"/>
  <c r="BF6" i="25"/>
  <c r="AU6" i="25"/>
  <c r="BF50" i="24"/>
  <c r="BF40" i="24"/>
  <c r="BF7" i="24"/>
  <c r="BC17" i="47" l="1"/>
  <c r="BF14" i="41"/>
  <c r="BE17" i="47"/>
  <c r="AW17" i="47"/>
  <c r="BF14" i="42"/>
  <c r="BF17" i="42" s="1"/>
  <c r="BF14" i="26"/>
  <c r="BF17" i="26" s="1"/>
  <c r="BB17" i="47"/>
  <c r="BF49" i="41"/>
  <c r="BF59" i="41" s="1"/>
  <c r="BF58" i="41" s="1"/>
  <c r="BF70" i="41"/>
  <c r="BF71" i="41"/>
  <c r="BF11" i="52"/>
  <c r="BD17" i="47"/>
  <c r="AV17" i="47"/>
  <c r="BA17" i="47"/>
  <c r="AZ17" i="47"/>
  <c r="AU17" i="47"/>
  <c r="AY17" i="47"/>
  <c r="BF29" i="47"/>
  <c r="BF29" i="41"/>
  <c r="BF18" i="41"/>
  <c r="BF17" i="41" s="1"/>
  <c r="BF5" i="43"/>
  <c r="BF33" i="30"/>
  <c r="BF18" i="28"/>
  <c r="BF18" i="25"/>
  <c r="BF6" i="24" s="1"/>
  <c r="BF35" i="24" s="1"/>
  <c r="BF44" i="24"/>
  <c r="BF54" i="41" l="1"/>
  <c r="BF53" i="41" s="1"/>
  <c r="BF21" i="24" s="1"/>
  <c r="BF29" i="28"/>
  <c r="BF20" i="51"/>
  <c r="BF19" i="51" s="1"/>
  <c r="BF24" i="25"/>
  <c r="BF26" i="25" s="1"/>
  <c r="BF27" i="25" s="1"/>
  <c r="BF30" i="25" s="1"/>
  <c r="BF41" i="25" s="1"/>
  <c r="BF9" i="24" l="1"/>
  <c r="BF10" i="24"/>
  <c r="BF43" i="24" s="1"/>
  <c r="BE7" i="24" l="1"/>
  <c r="BE8" i="24"/>
  <c r="BE40" i="24"/>
  <c r="BE44" i="24" s="1"/>
  <c r="BE51" i="24"/>
  <c r="BE50" i="24"/>
  <c r="BE17" i="36"/>
  <c r="BE18" i="41"/>
  <c r="BE14" i="41"/>
  <c r="BE19" i="47"/>
  <c r="BE22" i="47"/>
  <c r="BE9" i="52"/>
  <c r="BE10" i="52"/>
  <c r="BE15" i="52"/>
  <c r="BE5" i="43"/>
  <c r="BE5" i="30"/>
  <c r="BE17" i="30" s="1"/>
  <c r="BE26" i="30"/>
  <c r="BE28" i="30"/>
  <c r="BE31" i="30"/>
  <c r="BE5" i="28"/>
  <c r="BE10" i="28"/>
  <c r="BE27" i="28"/>
  <c r="BE21" i="51" s="1"/>
  <c r="BE5" i="26"/>
  <c r="BE10" i="26"/>
  <c r="BE5" i="42"/>
  <c r="BE10" i="42"/>
  <c r="BE9" i="25"/>
  <c r="BE12" i="25"/>
  <c r="BE14" i="26" l="1"/>
  <c r="BE17" i="26" s="1"/>
  <c r="BE18" i="28"/>
  <c r="BE20" i="51" s="1"/>
  <c r="BE19" i="51" s="1"/>
  <c r="BE14" i="42"/>
  <c r="BE17" i="42" s="1"/>
  <c r="BE18" i="25"/>
  <c r="BE70" i="41"/>
  <c r="BE17" i="41"/>
  <c r="BE49" i="41"/>
  <c r="BE29" i="41"/>
  <c r="BE71" i="41"/>
  <c r="BE29" i="47"/>
  <c r="BE11" i="52"/>
  <c r="BE33" i="30"/>
  <c r="BE29" i="28" l="1"/>
  <c r="BE59" i="41"/>
  <c r="BE58" i="41" s="1"/>
  <c r="BE24" i="25"/>
  <c r="BE6" i="24"/>
  <c r="BE35" i="24" s="1"/>
  <c r="BE54" i="41"/>
  <c r="BE53" i="41" s="1"/>
  <c r="BE21" i="24" s="1"/>
  <c r="BE26" i="25" l="1"/>
  <c r="BE27" i="25" s="1"/>
  <c r="BE30" i="25" s="1"/>
  <c r="BE41" i="25" s="1"/>
  <c r="BE9" i="24"/>
  <c r="BD40" i="24"/>
  <c r="BD44" i="24" s="1"/>
  <c r="BD51" i="24"/>
  <c r="BD50" i="24"/>
  <c r="BD17" i="36"/>
  <c r="BD14" i="41"/>
  <c r="BD18" i="41"/>
  <c r="BD17" i="41" s="1"/>
  <c r="BD49" i="41"/>
  <c r="BD19" i="47"/>
  <c r="BD22" i="47"/>
  <c r="BD28" i="30"/>
  <c r="BD31" i="30"/>
  <c r="BD10" i="28"/>
  <c r="BD9" i="52"/>
  <c r="BD10" i="52"/>
  <c r="BD12" i="25"/>
  <c r="BD7" i="24"/>
  <c r="BD8" i="24"/>
  <c r="BD29" i="47" l="1"/>
  <c r="BE10" i="24"/>
  <c r="BE43" i="24" s="1"/>
  <c r="BD26" i="30"/>
  <c r="BD5" i="26"/>
  <c r="BD9" i="25"/>
  <c r="BD18" i="25" s="1"/>
  <c r="BD11" i="52"/>
  <c r="BD15" i="52"/>
  <c r="BD5" i="42"/>
  <c r="BD5" i="30"/>
  <c r="BD17" i="30" s="1"/>
  <c r="BD70" i="41"/>
  <c r="BD10" i="42"/>
  <c r="BD10" i="26"/>
  <c r="BD5" i="28"/>
  <c r="BD18" i="28" s="1"/>
  <c r="BD20" i="51" s="1"/>
  <c r="BD5" i="43"/>
  <c r="BD71" i="41"/>
  <c r="BD27" i="28"/>
  <c r="BD21" i="51" s="1"/>
  <c r="BD29" i="41"/>
  <c r="BD59" i="41"/>
  <c r="BD58" i="41" s="1"/>
  <c r="BD33" i="30"/>
  <c r="BD14" i="42" l="1"/>
  <c r="BD17" i="42" s="1"/>
  <c r="BD14" i="26"/>
  <c r="BD17" i="26" s="1"/>
  <c r="BD19" i="51"/>
  <c r="BD24" i="25"/>
  <c r="BD6" i="24"/>
  <c r="BD35" i="24" s="1"/>
  <c r="BD29" i="28"/>
  <c r="BD54" i="41"/>
  <c r="BD53" i="41" s="1"/>
  <c r="BD21" i="24" s="1"/>
  <c r="BD26" i="25" l="1"/>
  <c r="BD27" i="25" s="1"/>
  <c r="BD30" i="25" s="1"/>
  <c r="BD41" i="25" s="1"/>
  <c r="BD9" i="24"/>
  <c r="BD10" i="24" l="1"/>
  <c r="BD43" i="24" s="1"/>
  <c r="BA40" i="24"/>
  <c r="BB40" i="24"/>
  <c r="BC40" i="24"/>
  <c r="AZ40" i="24"/>
  <c r="BC5" i="42" l="1"/>
  <c r="AZ10" i="42"/>
  <c r="AZ5" i="42"/>
  <c r="AZ14" i="42" s="1"/>
  <c r="AZ17" i="42" s="1"/>
  <c r="BA10" i="26"/>
  <c r="BA5" i="26"/>
  <c r="BB10" i="42"/>
  <c r="BC5" i="26"/>
  <c r="BA10" i="42"/>
  <c r="BA5" i="42"/>
  <c r="BB10" i="26"/>
  <c r="BB5" i="26"/>
  <c r="AZ10" i="26"/>
  <c r="AZ5" i="26"/>
  <c r="AZ14" i="26" l="1"/>
  <c r="AZ17" i="26" s="1"/>
  <c r="BA14" i="42"/>
  <c r="BA17" i="42" s="1"/>
  <c r="BA14" i="26"/>
  <c r="BA17" i="26" s="1"/>
  <c r="BB14" i="26"/>
  <c r="BB17" i="26" s="1"/>
  <c r="AX35" i="50"/>
  <c r="AV37" i="50"/>
  <c r="AU35" i="50"/>
  <c r="AW49" i="50"/>
  <c r="AU49" i="50"/>
  <c r="AU20" i="50"/>
  <c r="AX34" i="50" l="1"/>
  <c r="AW34" i="50"/>
  <c r="AW20" i="50"/>
  <c r="AW37" i="50"/>
  <c r="AV20" i="50"/>
  <c r="AV54" i="50" s="1"/>
  <c r="AU37" i="50"/>
  <c r="AU54" i="50" s="1"/>
  <c r="AV36" i="50"/>
  <c r="AU34" i="50"/>
  <c r="AX6" i="50"/>
  <c r="AW44" i="50"/>
  <c r="AV44" i="50"/>
  <c r="AX11" i="50"/>
  <c r="AU11" i="50"/>
  <c r="AW36" i="50"/>
  <c r="AX36" i="50"/>
  <c r="AW35" i="50"/>
  <c r="AV34" i="50"/>
  <c r="AU36" i="50"/>
  <c r="AU44" i="50"/>
  <c r="AU6" i="50"/>
  <c r="AW6" i="50"/>
  <c r="AV6" i="50"/>
  <c r="AW11" i="50"/>
  <c r="AV11" i="50"/>
  <c r="AX49" i="50"/>
  <c r="AX37" i="50"/>
  <c r="AV35" i="50"/>
  <c r="AV49" i="50"/>
  <c r="AW54" i="50"/>
  <c r="AX44" i="50"/>
  <c r="AX20" i="50"/>
  <c r="AU33" i="50" l="1"/>
  <c r="AX33" i="50"/>
  <c r="AV33" i="50"/>
  <c r="AW33" i="50"/>
  <c r="AX54" i="50"/>
  <c r="BC17" i="36" l="1"/>
  <c r="BC51" i="24"/>
  <c r="BC50" i="24"/>
  <c r="BC49" i="41"/>
  <c r="BC29" i="41"/>
  <c r="BC14" i="41"/>
  <c r="BC18" i="41"/>
  <c r="BC17" i="41" s="1"/>
  <c r="AX22" i="47"/>
  <c r="AY22" i="47"/>
  <c r="BB22" i="47"/>
  <c r="BC22" i="47"/>
  <c r="AW22" i="47"/>
  <c r="BA22" i="47"/>
  <c r="AV22" i="47"/>
  <c r="AZ22" i="47"/>
  <c r="BC19" i="47"/>
  <c r="BC10" i="52"/>
  <c r="BC9" i="52"/>
  <c r="BC31" i="30"/>
  <c r="BC28" i="30"/>
  <c r="BC10" i="28"/>
  <c r="BC44" i="24"/>
  <c r="BC7" i="24"/>
  <c r="BC59" i="41" l="1"/>
  <c r="BC58" i="41" s="1"/>
  <c r="BC29" i="47"/>
  <c r="BC54" i="41"/>
  <c r="BC53" i="41" s="1"/>
  <c r="BC21" i="24" s="1"/>
  <c r="BC71" i="41"/>
  <c r="BC33" i="30"/>
  <c r="BC5" i="28"/>
  <c r="BC18" i="28" s="1"/>
  <c r="BC5" i="30"/>
  <c r="BC17" i="30" s="1"/>
  <c r="BC26" i="30"/>
  <c r="BC15" i="52"/>
  <c r="BC70" i="41"/>
  <c r="BC11" i="52"/>
  <c r="BC20" i="51" l="1"/>
  <c r="AW70" i="41" l="1"/>
  <c r="BB71" i="41"/>
  <c r="AX71" i="41"/>
  <c r="BA70" i="41"/>
  <c r="AY70" i="41"/>
  <c r="AU70" i="41"/>
  <c r="AX70" i="41"/>
  <c r="BA71" i="41"/>
  <c r="AW71" i="41"/>
  <c r="AZ71" i="41"/>
  <c r="AV71" i="41"/>
  <c r="AY71" i="41"/>
  <c r="AU71" i="41"/>
  <c r="AZ70" i="41"/>
  <c r="AV70" i="41"/>
  <c r="BB70" i="41"/>
  <c r="BB17" i="36" l="1"/>
  <c r="BB51" i="24"/>
  <c r="BB50" i="24"/>
  <c r="BB14" i="41"/>
  <c r="BB18" i="41"/>
  <c r="BB17" i="41" s="1"/>
  <c r="BB49" i="41"/>
  <c r="BB19" i="47"/>
  <c r="BB9" i="52"/>
  <c r="BB10" i="52"/>
  <c r="BB5" i="30"/>
  <c r="BB17" i="30" s="1"/>
  <c r="BB26" i="30"/>
  <c r="BB28" i="30"/>
  <c r="BB31" i="30"/>
  <c r="BB10" i="28"/>
  <c r="BB7" i="24"/>
  <c r="BB44" i="24"/>
  <c r="BB59" i="41" l="1"/>
  <c r="BB58" i="41" s="1"/>
  <c r="BB11" i="52"/>
  <c r="BB33" i="30"/>
  <c r="BB29" i="47"/>
  <c r="BB29" i="41"/>
  <c r="BB54" i="41" l="1"/>
  <c r="BB53" i="41" s="1"/>
  <c r="BB21" i="24" s="1"/>
  <c r="AP49" i="41" l="1"/>
  <c r="AQ49" i="41"/>
  <c r="AR49" i="41"/>
  <c r="AS49" i="41"/>
  <c r="AT49" i="41"/>
  <c r="AU49" i="41"/>
  <c r="AV49" i="41"/>
  <c r="AW49" i="41"/>
  <c r="AX49" i="41"/>
  <c r="AY49" i="41"/>
  <c r="AZ49" i="41"/>
  <c r="BA49" i="41"/>
  <c r="BA17" i="36" l="1"/>
  <c r="BA19" i="47"/>
  <c r="BA15" i="52"/>
  <c r="BA31" i="30"/>
  <c r="BA10" i="28"/>
  <c r="BA9" i="52"/>
  <c r="AS10" i="26"/>
  <c r="AW10" i="26"/>
  <c r="AQ10" i="42"/>
  <c r="AU10" i="42"/>
  <c r="AY10" i="42"/>
  <c r="BA10" i="52"/>
  <c r="AV5" i="26" l="1"/>
  <c r="AR5" i="26"/>
  <c r="AW5" i="26"/>
  <c r="AW14" i="26" s="1"/>
  <c r="AW17" i="26" s="1"/>
  <c r="AS5" i="26"/>
  <c r="AS14" i="26" s="1"/>
  <c r="AS17" i="26" s="1"/>
  <c r="AY10" i="26"/>
  <c r="AU10" i="26"/>
  <c r="AQ10" i="26"/>
  <c r="AV10" i="26"/>
  <c r="AR10" i="26"/>
  <c r="AX5" i="26"/>
  <c r="AT5" i="26"/>
  <c r="AY5" i="26"/>
  <c r="AU5" i="26"/>
  <c r="AQ5" i="26"/>
  <c r="AX10" i="26"/>
  <c r="AT10" i="26"/>
  <c r="BA11" i="52"/>
  <c r="AR10" i="42"/>
  <c r="AX10" i="42"/>
  <c r="AW10" i="42"/>
  <c r="AS10" i="42"/>
  <c r="AX5" i="42"/>
  <c r="AR5" i="42"/>
  <c r="AT5" i="42"/>
  <c r="AV5" i="42"/>
  <c r="AW5" i="42"/>
  <c r="AS5" i="42"/>
  <c r="AY5" i="42"/>
  <c r="AY14" i="42" s="1"/>
  <c r="AY17" i="42" s="1"/>
  <c r="AU5" i="42"/>
  <c r="AU14" i="42" s="1"/>
  <c r="AU17" i="42" s="1"/>
  <c r="AQ5" i="42"/>
  <c r="AQ14" i="42" s="1"/>
  <c r="AQ17" i="42" s="1"/>
  <c r="BA29" i="47"/>
  <c r="AV10" i="42"/>
  <c r="AT10" i="42"/>
  <c r="BA28" i="30"/>
  <c r="BA33" i="30" s="1"/>
  <c r="BA26" i="30"/>
  <c r="BA5" i="30"/>
  <c r="BA17" i="30" s="1"/>
  <c r="AR14" i="26" l="1"/>
  <c r="AR17" i="26" s="1"/>
  <c r="AU14" i="26"/>
  <c r="AU17" i="26" s="1"/>
  <c r="AV14" i="42"/>
  <c r="AV17" i="42" s="1"/>
  <c r="AX14" i="26"/>
  <c r="AX17" i="26" s="1"/>
  <c r="AY14" i="26"/>
  <c r="AY17" i="26" s="1"/>
  <c r="AV14" i="26"/>
  <c r="AV17" i="26" s="1"/>
  <c r="AT14" i="42"/>
  <c r="AT17" i="42" s="1"/>
  <c r="AX14" i="42"/>
  <c r="AX17" i="42" s="1"/>
  <c r="AW14" i="42"/>
  <c r="AW17" i="42" s="1"/>
  <c r="AR14" i="42"/>
  <c r="AR17" i="42" s="1"/>
  <c r="AT14" i="26"/>
  <c r="AT17" i="26" s="1"/>
  <c r="AQ14" i="26"/>
  <c r="AQ17" i="26" s="1"/>
  <c r="AS14" i="42"/>
  <c r="AS17" i="42" s="1"/>
  <c r="BA18" i="41"/>
  <c r="BA17" i="41" s="1"/>
  <c r="BA44" i="24" l="1"/>
  <c r="BA50" i="24"/>
  <c r="BA51" i="24"/>
  <c r="AZ17" i="36" l="1"/>
  <c r="AZ51" i="24"/>
  <c r="AZ50" i="24"/>
  <c r="AZ14" i="41"/>
  <c r="AZ18" i="41"/>
  <c r="AZ17" i="41" s="1"/>
  <c r="AZ29" i="41"/>
  <c r="AZ19" i="47"/>
  <c r="AZ9" i="52"/>
  <c r="AZ10" i="52"/>
  <c r="AZ15" i="52"/>
  <c r="AZ5" i="30"/>
  <c r="AZ17" i="30" s="1"/>
  <c r="AZ26" i="30"/>
  <c r="AZ28" i="30"/>
  <c r="AZ31" i="30"/>
  <c r="AZ10" i="28"/>
  <c r="AZ7" i="24"/>
  <c r="AZ44" i="24"/>
  <c r="AZ33" i="30" l="1"/>
  <c r="AZ11" i="52"/>
  <c r="AZ54" i="41"/>
  <c r="AZ53" i="41" s="1"/>
  <c r="AZ21" i="24" s="1"/>
  <c r="AZ59" i="41"/>
  <c r="AZ58" i="41" s="1"/>
  <c r="AZ29" i="47"/>
  <c r="BA14" i="41" l="1"/>
  <c r="BA29" i="41" l="1"/>
  <c r="BA59" i="41"/>
  <c r="BA58" i="41" s="1"/>
  <c r="BA54" i="41" l="1"/>
  <c r="BA53" i="41" s="1"/>
  <c r="BA21" i="24" s="1"/>
  <c r="AY44" i="24" l="1"/>
  <c r="AY7" i="24" l="1"/>
  <c r="AY51" i="24" l="1"/>
  <c r="AY50" i="24"/>
  <c r="AY59" i="41"/>
  <c r="AY58" i="41" s="1"/>
  <c r="AY29" i="41"/>
  <c r="AY14" i="41"/>
  <c r="AY19" i="47"/>
  <c r="AQ17" i="47"/>
  <c r="AR17" i="47"/>
  <c r="AS17" i="47"/>
  <c r="AT17" i="47"/>
  <c r="AY29" i="47" l="1"/>
  <c r="AY54" i="41"/>
  <c r="AY53" i="41" s="1"/>
  <c r="AY21" i="24" s="1"/>
  <c r="AY18" i="41"/>
  <c r="AY17" i="41" s="1"/>
  <c r="AY10" i="52"/>
  <c r="AY9" i="52"/>
  <c r="AY15" i="52"/>
  <c r="AU31" i="30"/>
  <c r="AY31" i="30"/>
  <c r="AT31" i="30"/>
  <c r="AS31" i="30"/>
  <c r="AW31" i="30"/>
  <c r="AR31" i="30"/>
  <c r="AV31" i="30"/>
  <c r="AX31" i="30"/>
  <c r="AQ31" i="30"/>
  <c r="AY28" i="30"/>
  <c r="AY26" i="30"/>
  <c r="AY5" i="30"/>
  <c r="AY17" i="30" s="1"/>
  <c r="AR13" i="30"/>
  <c r="AT13" i="30"/>
  <c r="AQ13" i="30"/>
  <c r="AS13" i="30"/>
  <c r="AY33" i="30" l="1"/>
  <c r="AY11" i="52"/>
  <c r="AY10" i="28" l="1"/>
  <c r="AP12" i="25"/>
  <c r="AP9" i="25"/>
  <c r="AP18" i="25" l="1"/>
  <c r="AP24" i="25" s="1"/>
  <c r="AP26" i="25" s="1"/>
  <c r="AP27" i="25" s="1"/>
  <c r="AY17" i="36"/>
  <c r="AV18" i="41" l="1"/>
  <c r="AV17" i="41" s="1"/>
  <c r="AU18" i="41"/>
  <c r="AU17" i="41" s="1"/>
  <c r="AQ18" i="41"/>
  <c r="AQ17" i="41" s="1"/>
  <c r="AT18" i="41"/>
  <c r="AT17" i="41" s="1"/>
  <c r="AR18" i="41"/>
  <c r="AR17" i="41" s="1"/>
  <c r="AS18" i="41"/>
  <c r="AS17" i="41" s="1"/>
  <c r="AW18" i="41"/>
  <c r="AW17" i="41" s="1"/>
  <c r="AX18" i="41"/>
  <c r="AX17" i="41" s="1"/>
  <c r="AT27" i="47"/>
  <c r="AS27" i="47"/>
  <c r="AR27" i="47"/>
  <c r="AQ27" i="47"/>
  <c r="A15" i="51" l="1"/>
  <c r="B15" i="51"/>
  <c r="C15" i="51"/>
  <c r="D15" i="51"/>
  <c r="E15" i="51"/>
  <c r="F15" i="51"/>
  <c r="G15" i="51"/>
  <c r="H15" i="51"/>
  <c r="I15" i="51"/>
  <c r="J15" i="51"/>
  <c r="K15" i="51"/>
  <c r="L15" i="51"/>
  <c r="M15" i="51"/>
  <c r="N15" i="51"/>
  <c r="O15" i="51"/>
  <c r="P15" i="51"/>
  <c r="Q15" i="51"/>
  <c r="R15" i="51"/>
  <c r="S15" i="51"/>
  <c r="T15" i="51"/>
  <c r="U15" i="51"/>
  <c r="V15" i="51"/>
  <c r="W15" i="51"/>
  <c r="X15" i="51"/>
  <c r="Y15" i="51"/>
  <c r="Z15" i="51"/>
  <c r="AA15" i="51"/>
  <c r="AB15" i="51"/>
  <c r="AC15" i="51"/>
  <c r="AD15" i="51"/>
  <c r="AE15" i="51"/>
  <c r="AF15" i="51"/>
  <c r="AG15" i="51"/>
  <c r="AH15" i="51"/>
  <c r="AI15" i="51"/>
  <c r="AJ15" i="51"/>
  <c r="AK15" i="51"/>
  <c r="AL15" i="51"/>
  <c r="AM15" i="51"/>
  <c r="AN15" i="51"/>
  <c r="AO15" i="51"/>
  <c r="AX15" i="52"/>
  <c r="AW15" i="52"/>
  <c r="AV15" i="52"/>
  <c r="AU15" i="52"/>
  <c r="AT15" i="52"/>
  <c r="AS15" i="52"/>
  <c r="AR15" i="52"/>
  <c r="AQ15" i="52"/>
  <c r="I9" i="52" l="1"/>
  <c r="J9" i="52"/>
  <c r="K9" i="52"/>
  <c r="L9" i="52"/>
  <c r="M9" i="52"/>
  <c r="N9" i="52"/>
  <c r="O9" i="52"/>
  <c r="P9" i="52"/>
  <c r="Q9" i="52"/>
  <c r="R9" i="52"/>
  <c r="S9" i="52"/>
  <c r="T9" i="52"/>
  <c r="U9" i="52"/>
  <c r="V9" i="52"/>
  <c r="W9" i="52"/>
  <c r="X9" i="52"/>
  <c r="Y9" i="52"/>
  <c r="Z9" i="52"/>
  <c r="AA9" i="52"/>
  <c r="AB9" i="52"/>
  <c r="AC9" i="52"/>
  <c r="AD9" i="52"/>
  <c r="AE9" i="52"/>
  <c r="AF9" i="52"/>
  <c r="AG9" i="52"/>
  <c r="AH9" i="52"/>
  <c r="AI9" i="52"/>
  <c r="AJ9" i="52"/>
  <c r="AK9" i="52"/>
  <c r="AM9" i="52"/>
  <c r="AN9" i="52"/>
  <c r="AP9" i="52"/>
  <c r="AQ9" i="52"/>
  <c r="AR9" i="52"/>
  <c r="AS9" i="52"/>
  <c r="AT9" i="52"/>
  <c r="AU9" i="52"/>
  <c r="AV9" i="52"/>
  <c r="AW9" i="52"/>
  <c r="I10" i="52"/>
  <c r="J10" i="52"/>
  <c r="K10" i="52"/>
  <c r="L10" i="52"/>
  <c r="M10" i="52"/>
  <c r="N10" i="52"/>
  <c r="O10" i="52"/>
  <c r="P10" i="52"/>
  <c r="Q10" i="52"/>
  <c r="R10" i="52"/>
  <c r="S10" i="52"/>
  <c r="T10" i="52"/>
  <c r="U10" i="52"/>
  <c r="V10" i="52"/>
  <c r="W10" i="52"/>
  <c r="X10" i="52"/>
  <c r="Y10" i="52"/>
  <c r="Z10" i="52"/>
  <c r="AA10" i="52"/>
  <c r="AB10" i="52"/>
  <c r="AC10" i="52"/>
  <c r="AD10" i="52"/>
  <c r="AE10" i="52"/>
  <c r="AF10" i="52"/>
  <c r="AG10" i="52"/>
  <c r="AH10" i="52"/>
  <c r="AI10" i="52"/>
  <c r="AJ10" i="52"/>
  <c r="AK10" i="52"/>
  <c r="AM10" i="52"/>
  <c r="AN10" i="52"/>
  <c r="AP10" i="52"/>
  <c r="AQ10" i="52"/>
  <c r="AR10" i="52"/>
  <c r="AS10" i="52"/>
  <c r="AT10" i="52"/>
  <c r="AU10" i="52"/>
  <c r="AV10" i="52"/>
  <c r="AW10" i="52"/>
  <c r="AX10" i="52"/>
  <c r="AX9" i="52"/>
  <c r="B19" i="51"/>
  <c r="A19" i="51"/>
  <c r="B20" i="51"/>
  <c r="B21" i="51"/>
  <c r="A21" i="51"/>
  <c r="A20" i="51"/>
  <c r="D13" i="51"/>
  <c r="E13" i="51"/>
  <c r="F13" i="51"/>
  <c r="G13" i="51"/>
  <c r="H13" i="51"/>
  <c r="I13" i="51"/>
  <c r="J13" i="51"/>
  <c r="K13" i="51"/>
  <c r="L13" i="51"/>
  <c r="M13" i="51"/>
  <c r="N13" i="51"/>
  <c r="O13" i="51"/>
  <c r="P13" i="51"/>
  <c r="Q13" i="51"/>
  <c r="R13" i="51"/>
  <c r="S13" i="51"/>
  <c r="T13" i="51"/>
  <c r="U13" i="51"/>
  <c r="V13" i="51"/>
  <c r="W13" i="51"/>
  <c r="X13" i="51"/>
  <c r="Y13" i="51"/>
  <c r="Z13" i="51"/>
  <c r="AA13" i="51"/>
  <c r="AB13" i="51"/>
  <c r="AC13" i="51"/>
  <c r="AD13" i="51"/>
  <c r="AE13" i="51"/>
  <c r="AF13" i="51"/>
  <c r="AG13" i="51"/>
  <c r="AH13" i="51"/>
  <c r="AI13" i="51"/>
  <c r="AJ13" i="51"/>
  <c r="AK13" i="51"/>
  <c r="AL13" i="51"/>
  <c r="AM13" i="51"/>
  <c r="AN13" i="51"/>
  <c r="AO13" i="51"/>
  <c r="D16" i="51"/>
  <c r="E16" i="51"/>
  <c r="F16" i="51"/>
  <c r="G16" i="51"/>
  <c r="H16" i="51"/>
  <c r="I16" i="51"/>
  <c r="J16" i="51"/>
  <c r="K16" i="51"/>
  <c r="L16" i="51"/>
  <c r="M16" i="51"/>
  <c r="N16" i="51"/>
  <c r="O16" i="51"/>
  <c r="P16" i="51"/>
  <c r="Q16" i="51"/>
  <c r="R16" i="51"/>
  <c r="S16" i="51"/>
  <c r="T16" i="51"/>
  <c r="U16" i="51"/>
  <c r="V16" i="51"/>
  <c r="W16" i="51"/>
  <c r="X16" i="51"/>
  <c r="Y16" i="51"/>
  <c r="Z16" i="51"/>
  <c r="AA16" i="51"/>
  <c r="AB16" i="51"/>
  <c r="AC16" i="51"/>
  <c r="AD16" i="51"/>
  <c r="AE16" i="51"/>
  <c r="AF16" i="51"/>
  <c r="AG16" i="51"/>
  <c r="AH16" i="51"/>
  <c r="AI16" i="51"/>
  <c r="AJ16" i="51"/>
  <c r="AK16" i="51"/>
  <c r="AL16" i="51"/>
  <c r="AM16" i="51"/>
  <c r="AN16" i="51"/>
  <c r="AO16" i="51"/>
  <c r="D17" i="51"/>
  <c r="E17" i="51"/>
  <c r="F17" i="51"/>
  <c r="G17" i="51"/>
  <c r="H17" i="51"/>
  <c r="I17" i="51"/>
  <c r="J17" i="51"/>
  <c r="K17" i="51"/>
  <c r="L17" i="51"/>
  <c r="M17" i="51"/>
  <c r="N17" i="51"/>
  <c r="O17" i="51"/>
  <c r="P17" i="51"/>
  <c r="Q17" i="51"/>
  <c r="R17" i="51"/>
  <c r="S17" i="51"/>
  <c r="T17" i="51"/>
  <c r="U17" i="51"/>
  <c r="V17" i="51"/>
  <c r="W17" i="51"/>
  <c r="X17" i="51"/>
  <c r="Y17" i="51"/>
  <c r="Z17" i="51"/>
  <c r="AA17" i="51"/>
  <c r="AB17" i="51"/>
  <c r="AC17" i="51"/>
  <c r="AD17" i="51"/>
  <c r="AE17" i="51"/>
  <c r="AF17" i="51"/>
  <c r="AG17" i="51"/>
  <c r="AH17" i="51"/>
  <c r="AI17" i="51"/>
  <c r="AJ17" i="51"/>
  <c r="AK17" i="51"/>
  <c r="AL17" i="51"/>
  <c r="AM17" i="51"/>
  <c r="AN17" i="51"/>
  <c r="AO17" i="51"/>
  <c r="C16" i="51"/>
  <c r="C17" i="51"/>
  <c r="C13" i="51"/>
  <c r="A13" i="51"/>
  <c r="A16" i="51"/>
  <c r="A17" i="51"/>
  <c r="B16" i="51"/>
  <c r="B17" i="51"/>
  <c r="B13" i="51"/>
  <c r="A6" i="51"/>
  <c r="A7" i="51"/>
  <c r="A8" i="51"/>
  <c r="A9" i="51"/>
  <c r="A10" i="51"/>
  <c r="D6" i="51"/>
  <c r="E6" i="51"/>
  <c r="F6" i="51"/>
  <c r="G6" i="51"/>
  <c r="H6" i="51"/>
  <c r="I6" i="51"/>
  <c r="J6" i="51"/>
  <c r="K6" i="51"/>
  <c r="L6" i="51"/>
  <c r="M6" i="51"/>
  <c r="N6" i="51"/>
  <c r="O6" i="51"/>
  <c r="P6" i="51"/>
  <c r="Q6" i="51"/>
  <c r="R6" i="51"/>
  <c r="S6" i="51"/>
  <c r="T6" i="51"/>
  <c r="U6" i="51"/>
  <c r="V6" i="51"/>
  <c r="W6" i="51"/>
  <c r="X6" i="51"/>
  <c r="Y6" i="51"/>
  <c r="Z6" i="51"/>
  <c r="AA6" i="51"/>
  <c r="AB6" i="51"/>
  <c r="AC6" i="51"/>
  <c r="AD6" i="51"/>
  <c r="AE6" i="51"/>
  <c r="AF6" i="51"/>
  <c r="AG6" i="51"/>
  <c r="AH6" i="51"/>
  <c r="AI6" i="51"/>
  <c r="AJ6" i="51"/>
  <c r="AK6" i="51"/>
  <c r="AL6" i="51"/>
  <c r="AM6" i="51"/>
  <c r="AN6" i="51"/>
  <c r="AO6" i="51"/>
  <c r="D7" i="51"/>
  <c r="E7" i="51"/>
  <c r="F7" i="51"/>
  <c r="G7" i="51"/>
  <c r="H7" i="51"/>
  <c r="I7" i="51"/>
  <c r="J7" i="51"/>
  <c r="K7" i="51"/>
  <c r="L7" i="51"/>
  <c r="M7" i="51"/>
  <c r="N7" i="51"/>
  <c r="O7" i="51"/>
  <c r="P7" i="51"/>
  <c r="Q7" i="51"/>
  <c r="R7" i="51"/>
  <c r="S7" i="51"/>
  <c r="T7" i="51"/>
  <c r="U7" i="51"/>
  <c r="V7" i="51"/>
  <c r="W7" i="51"/>
  <c r="X7" i="51"/>
  <c r="Y7" i="51"/>
  <c r="Z7" i="51"/>
  <c r="AA7" i="51"/>
  <c r="AB7" i="51"/>
  <c r="AC7" i="51"/>
  <c r="AD7" i="51"/>
  <c r="AE7" i="51"/>
  <c r="AF7" i="51"/>
  <c r="AG7" i="51"/>
  <c r="AH7" i="51"/>
  <c r="AI7" i="51"/>
  <c r="AJ7" i="51"/>
  <c r="AK7" i="51"/>
  <c r="AL7" i="51"/>
  <c r="AM7" i="51"/>
  <c r="AN7" i="51"/>
  <c r="AO7" i="51"/>
  <c r="D8" i="51"/>
  <c r="E8" i="51"/>
  <c r="F8" i="51"/>
  <c r="G8" i="51"/>
  <c r="H8" i="51"/>
  <c r="I8" i="51"/>
  <c r="J8" i="51"/>
  <c r="K8" i="51"/>
  <c r="L8" i="51"/>
  <c r="M8" i="51"/>
  <c r="N8" i="51"/>
  <c r="O8" i="51"/>
  <c r="P8" i="51"/>
  <c r="Q8" i="51"/>
  <c r="R8" i="51"/>
  <c r="S8" i="51"/>
  <c r="T8" i="51"/>
  <c r="U8" i="51"/>
  <c r="V8" i="51"/>
  <c r="W8" i="51"/>
  <c r="X8" i="51"/>
  <c r="Y8" i="51"/>
  <c r="Z8" i="51"/>
  <c r="AA8" i="51"/>
  <c r="AB8" i="51"/>
  <c r="AC8" i="51"/>
  <c r="AD8" i="51"/>
  <c r="AE8" i="51"/>
  <c r="AF8" i="51"/>
  <c r="AG8" i="51"/>
  <c r="AH8" i="51"/>
  <c r="AI8" i="51"/>
  <c r="AJ8" i="51"/>
  <c r="AK8" i="51"/>
  <c r="AL8" i="51"/>
  <c r="AM8" i="51"/>
  <c r="AN8" i="51"/>
  <c r="AO8" i="51"/>
  <c r="D9" i="51"/>
  <c r="E9" i="51"/>
  <c r="F9" i="51"/>
  <c r="G9" i="51"/>
  <c r="H9" i="51"/>
  <c r="I9" i="51"/>
  <c r="J9" i="51"/>
  <c r="K9" i="51"/>
  <c r="L9" i="51"/>
  <c r="M9" i="51"/>
  <c r="N9" i="51"/>
  <c r="O9" i="51"/>
  <c r="P9" i="51"/>
  <c r="Q9" i="51"/>
  <c r="R9" i="51"/>
  <c r="S9" i="51"/>
  <c r="T9" i="51"/>
  <c r="U9" i="51"/>
  <c r="V9" i="51"/>
  <c r="W9" i="51"/>
  <c r="X9" i="51"/>
  <c r="Y9" i="51"/>
  <c r="Z9" i="51"/>
  <c r="AA9" i="51"/>
  <c r="AB9" i="51"/>
  <c r="AC9" i="51"/>
  <c r="AD9" i="51"/>
  <c r="AE9" i="51"/>
  <c r="AF9" i="51"/>
  <c r="AG9" i="51"/>
  <c r="AH9" i="51"/>
  <c r="AI9" i="51"/>
  <c r="AJ9" i="51"/>
  <c r="AK9" i="51"/>
  <c r="AL9" i="51"/>
  <c r="AM9" i="51"/>
  <c r="AN9" i="51"/>
  <c r="AO9" i="51"/>
  <c r="D10" i="51"/>
  <c r="E10" i="51"/>
  <c r="F10" i="51"/>
  <c r="G10" i="51"/>
  <c r="H10" i="51"/>
  <c r="I10" i="51"/>
  <c r="J10" i="51"/>
  <c r="K10" i="51"/>
  <c r="L10" i="51"/>
  <c r="M10" i="51"/>
  <c r="N10" i="51"/>
  <c r="O10" i="51"/>
  <c r="P10" i="51"/>
  <c r="Q10" i="51"/>
  <c r="R10" i="51"/>
  <c r="S10" i="51"/>
  <c r="T10" i="51"/>
  <c r="U10" i="51"/>
  <c r="V10" i="51"/>
  <c r="W10" i="51"/>
  <c r="X10" i="51"/>
  <c r="Y10" i="51"/>
  <c r="Z10" i="51"/>
  <c r="AA10" i="51"/>
  <c r="AB10" i="51"/>
  <c r="AC10" i="51"/>
  <c r="AD10" i="51"/>
  <c r="AE10" i="51"/>
  <c r="AF10" i="51"/>
  <c r="AG10" i="51"/>
  <c r="AH10" i="51"/>
  <c r="AI10" i="51"/>
  <c r="AJ10" i="51"/>
  <c r="AK10" i="51"/>
  <c r="AL10" i="51"/>
  <c r="AM10" i="51"/>
  <c r="AN10" i="51"/>
  <c r="AO10" i="51"/>
  <c r="C6" i="51"/>
  <c r="C7" i="51"/>
  <c r="C8" i="51"/>
  <c r="C9" i="51"/>
  <c r="C10" i="51"/>
  <c r="B7" i="51"/>
  <c r="B8" i="51"/>
  <c r="B9" i="51"/>
  <c r="B10" i="51"/>
  <c r="B6" i="51"/>
  <c r="AF11" i="52" l="1"/>
  <c r="X11" i="52"/>
  <c r="P11" i="52"/>
  <c r="AS11" i="52"/>
  <c r="AK11" i="52"/>
  <c r="AG11" i="52"/>
  <c r="AC11" i="52"/>
  <c r="Y11" i="52"/>
  <c r="U11" i="52"/>
  <c r="Q11" i="52"/>
  <c r="M11" i="52"/>
  <c r="I11" i="52"/>
  <c r="AW11" i="52"/>
  <c r="AV11" i="52"/>
  <c r="AX11" i="52"/>
  <c r="AR11" i="52"/>
  <c r="AJ11" i="52"/>
  <c r="AB11" i="52"/>
  <c r="T11" i="52"/>
  <c r="L11" i="52"/>
  <c r="AN11" i="52"/>
  <c r="AU11" i="52"/>
  <c r="AQ11" i="52"/>
  <c r="AM11" i="52"/>
  <c r="AI11" i="52"/>
  <c r="AE11" i="52"/>
  <c r="AA11" i="52"/>
  <c r="W11" i="52"/>
  <c r="S11" i="52"/>
  <c r="O11" i="52"/>
  <c r="K11" i="52"/>
  <c r="AT11" i="52"/>
  <c r="AP11" i="52"/>
  <c r="AH11" i="52"/>
  <c r="AD11" i="52"/>
  <c r="Z11" i="52"/>
  <c r="V11" i="52"/>
  <c r="R11" i="52"/>
  <c r="N11" i="52"/>
  <c r="J11" i="52"/>
  <c r="AL5" i="51"/>
  <c r="AH5" i="51"/>
  <c r="AD5" i="51"/>
  <c r="Z5" i="51"/>
  <c r="V5" i="51"/>
  <c r="R5" i="51"/>
  <c r="N5" i="51"/>
  <c r="J5" i="51"/>
  <c r="F5" i="51"/>
  <c r="AO5" i="51"/>
  <c r="AK5" i="51"/>
  <c r="AG5" i="51"/>
  <c r="AC5" i="51"/>
  <c r="Y5" i="51"/>
  <c r="U5" i="51"/>
  <c r="Q5" i="51"/>
  <c r="M5" i="51"/>
  <c r="I5" i="51"/>
  <c r="E5" i="51"/>
  <c r="C5" i="51"/>
  <c r="AM5" i="51"/>
  <c r="AI5" i="51"/>
  <c r="AE5" i="51"/>
  <c r="AA5" i="51"/>
  <c r="W5" i="51"/>
  <c r="S5" i="51"/>
  <c r="O5" i="51"/>
  <c r="K5" i="51"/>
  <c r="G5" i="51"/>
  <c r="AN5" i="51"/>
  <c r="AJ5" i="51"/>
  <c r="AF5" i="51"/>
  <c r="AB5" i="51"/>
  <c r="X5" i="51"/>
  <c r="T5" i="51"/>
  <c r="P5" i="51"/>
  <c r="L5" i="51"/>
  <c r="H5" i="51"/>
  <c r="D5" i="51"/>
  <c r="AX17" i="36" l="1"/>
  <c r="AX51" i="24" l="1"/>
  <c r="AX50" i="24"/>
  <c r="AX44" i="24"/>
  <c r="AX7" i="24"/>
  <c r="AX28" i="30"/>
  <c r="AX33" i="30" s="1"/>
  <c r="AX5" i="30"/>
  <c r="AX17" i="30" s="1"/>
  <c r="AX26" i="30" l="1"/>
  <c r="AX19" i="47" l="1"/>
  <c r="AX29" i="47" l="1"/>
  <c r="AR29" i="41" l="1"/>
  <c r="AV29" i="41"/>
  <c r="AP29" i="41"/>
  <c r="AT29" i="41"/>
  <c r="AX29" i="41"/>
  <c r="AQ29" i="41"/>
  <c r="AU29" i="41"/>
  <c r="AS29" i="41"/>
  <c r="AW29" i="41"/>
  <c r="AX22" i="49"/>
  <c r="AX17" i="49"/>
  <c r="AX14" i="41"/>
  <c r="AX13" i="49"/>
  <c r="AX8" i="49"/>
  <c r="AX59" i="41" l="1"/>
  <c r="AX58" i="41" s="1"/>
  <c r="AX6" i="49"/>
  <c r="AX12" i="49"/>
  <c r="AX54" i="41"/>
  <c r="AX53" i="41" s="1"/>
  <c r="AX21" i="24" s="1"/>
  <c r="AX10" i="28" l="1"/>
  <c r="AW51" i="24" l="1"/>
  <c r="AW50" i="24"/>
  <c r="AW17" i="36"/>
  <c r="AW14" i="41"/>
  <c r="AW8" i="49"/>
  <c r="AW22" i="49"/>
  <c r="AW10" i="28"/>
  <c r="AW7" i="24"/>
  <c r="AW44" i="24"/>
  <c r="AW59" i="41" l="1"/>
  <c r="AW58" i="41" s="1"/>
  <c r="AW5" i="30"/>
  <c r="AW17" i="30" s="1"/>
  <c r="AW26" i="30"/>
  <c r="AW13" i="49"/>
  <c r="AW28" i="30"/>
  <c r="AW33" i="30" s="1"/>
  <c r="AW19" i="47"/>
  <c r="AW29" i="47" s="1"/>
  <c r="AW17" i="49"/>
  <c r="AW6" i="49"/>
  <c r="AW54" i="41" l="1"/>
  <c r="AW53" i="41" s="1"/>
  <c r="AW21" i="24" s="1"/>
  <c r="AW12" i="49"/>
  <c r="AS17" i="36" l="1"/>
  <c r="AP13" i="49"/>
  <c r="AS13" i="49"/>
  <c r="AT13" i="49"/>
  <c r="AV28" i="30"/>
  <c r="AV33" i="30" s="1"/>
  <c r="AR13" i="49" l="1"/>
  <c r="AU17" i="36"/>
  <c r="AQ17" i="36"/>
  <c r="AP10" i="42"/>
  <c r="AU13" i="49"/>
  <c r="AQ13" i="49"/>
  <c r="AT17" i="49"/>
  <c r="AT12" i="49" s="1"/>
  <c r="AP17" i="49"/>
  <c r="AP12" i="49" s="1"/>
  <c r="AR17" i="49"/>
  <c r="AP10" i="26"/>
  <c r="AS17" i="49"/>
  <c r="AS12" i="49" s="1"/>
  <c r="AU17" i="49"/>
  <c r="AQ17" i="49"/>
  <c r="AT17" i="36"/>
  <c r="AP17" i="36"/>
  <c r="AR17" i="36"/>
  <c r="AV17" i="36"/>
  <c r="AQ12" i="49" l="1"/>
  <c r="AU12" i="49"/>
  <c r="AR12" i="49"/>
  <c r="AV59" i="41" l="1"/>
  <c r="AV58" i="41" s="1"/>
  <c r="AV14" i="41"/>
  <c r="AV54" i="41" l="1"/>
  <c r="AV53" i="41" s="1"/>
  <c r="AV8" i="49"/>
  <c r="AV13" i="49"/>
  <c r="AV17" i="49"/>
  <c r="AV22" i="49"/>
  <c r="AV19" i="47"/>
  <c r="AV6" i="49" l="1"/>
  <c r="AV12" i="49"/>
  <c r="AV29" i="47"/>
  <c r="AP18" i="28" l="1"/>
  <c r="AP20" i="51" s="1"/>
  <c r="AO18" i="28"/>
  <c r="AO20" i="51" s="1"/>
  <c r="AN18" i="28"/>
  <c r="AN20" i="51" s="1"/>
  <c r="AM18" i="28"/>
  <c r="AM20" i="51" s="1"/>
  <c r="AL18" i="28"/>
  <c r="AL20" i="51" s="1"/>
  <c r="AK18" i="28"/>
  <c r="AK20" i="51" s="1"/>
  <c r="AJ18" i="28"/>
  <c r="AJ20" i="51" s="1"/>
  <c r="AI18" i="28"/>
  <c r="AI20" i="51" s="1"/>
  <c r="AH18" i="28"/>
  <c r="AH20" i="51" s="1"/>
  <c r="AG18" i="28"/>
  <c r="AG20" i="51" s="1"/>
  <c r="AF18" i="28"/>
  <c r="AF20" i="51" s="1"/>
  <c r="AE18" i="28"/>
  <c r="AE20" i="51" s="1"/>
  <c r="AD18" i="28"/>
  <c r="AD20" i="51" s="1"/>
  <c r="AC18" i="28"/>
  <c r="AC20" i="51" s="1"/>
  <c r="AB18" i="28"/>
  <c r="AB20" i="51" s="1"/>
  <c r="AA18" i="28"/>
  <c r="AA20" i="51" s="1"/>
  <c r="Z18" i="28"/>
  <c r="Z20" i="51" s="1"/>
  <c r="Q18" i="28"/>
  <c r="Q20" i="51" s="1"/>
  <c r="N18" i="28"/>
  <c r="N20" i="51" s="1"/>
  <c r="F18" i="28"/>
  <c r="F20" i="51" s="1"/>
  <c r="Q26" i="51" l="1"/>
  <c r="AC26" i="51"/>
  <c r="AF27" i="51"/>
  <c r="AJ27" i="51"/>
  <c r="AG26" i="51"/>
  <c r="AN27" i="51"/>
  <c r="AK26" i="51"/>
  <c r="AO26" i="51"/>
  <c r="F26" i="51"/>
  <c r="N26" i="51"/>
  <c r="Z26" i="51"/>
  <c r="AC27" i="51"/>
  <c r="AG27" i="51"/>
  <c r="AD26" i="51"/>
  <c r="AK27" i="51"/>
  <c r="AH26" i="51"/>
  <c r="AO27" i="51"/>
  <c r="AL26" i="51"/>
  <c r="AD27" i="51"/>
  <c r="AA26" i="51"/>
  <c r="AH27" i="51"/>
  <c r="AE26" i="51"/>
  <c r="AL27" i="51"/>
  <c r="AI26" i="51"/>
  <c r="AM26" i="51"/>
  <c r="AB26" i="51"/>
  <c r="AE27" i="51"/>
  <c r="AI27" i="51"/>
  <c r="AF26" i="51"/>
  <c r="AM27" i="51"/>
  <c r="AJ26" i="51"/>
  <c r="AN26" i="51"/>
  <c r="C5" i="30"/>
  <c r="AU5" i="30"/>
  <c r="AU17" i="30" s="1"/>
  <c r="AT5" i="30"/>
  <c r="AT17" i="30" s="1"/>
  <c r="AS5" i="30"/>
  <c r="AS17" i="30" s="1"/>
  <c r="AR5" i="30"/>
  <c r="AR17" i="30" s="1"/>
  <c r="AQ5" i="30"/>
  <c r="AQ17" i="30" s="1"/>
  <c r="AP5" i="30"/>
  <c r="AP17" i="30" s="1"/>
  <c r="AO5" i="30"/>
  <c r="AO17" i="30" s="1"/>
  <c r="AN5" i="30"/>
  <c r="AN17" i="30" s="1"/>
  <c r="AM5" i="30"/>
  <c r="AM17" i="30" s="1"/>
  <c r="AL5" i="30"/>
  <c r="AL17" i="30" s="1"/>
  <c r="AK5" i="30"/>
  <c r="AK17" i="30" s="1"/>
  <c r="AJ5" i="30"/>
  <c r="AJ17" i="30" s="1"/>
  <c r="AI5" i="30"/>
  <c r="AI17" i="30" s="1"/>
  <c r="AH5" i="30"/>
  <c r="AH17" i="30" s="1"/>
  <c r="AG5" i="30"/>
  <c r="AG17" i="30" s="1"/>
  <c r="AF5" i="30"/>
  <c r="AF17" i="30" s="1"/>
  <c r="AE5" i="30"/>
  <c r="AD5" i="30"/>
  <c r="AD17" i="30" s="1"/>
  <c r="AA5" i="30"/>
  <c r="Z5" i="30"/>
  <c r="Y5" i="30"/>
  <c r="X5" i="30"/>
  <c r="W5" i="30"/>
  <c r="V5" i="30"/>
  <c r="U5" i="30"/>
  <c r="T5" i="30"/>
  <c r="S5" i="30"/>
  <c r="R5" i="30"/>
  <c r="Q5" i="30"/>
  <c r="P5" i="30"/>
  <c r="O5" i="30"/>
  <c r="N5" i="30"/>
  <c r="M5" i="30"/>
  <c r="L5" i="30"/>
  <c r="K5" i="30"/>
  <c r="J5" i="30"/>
  <c r="I5" i="30"/>
  <c r="H5" i="30"/>
  <c r="G5" i="30"/>
  <c r="F5" i="30"/>
  <c r="E5" i="30"/>
  <c r="D5" i="30"/>
  <c r="AV5" i="30"/>
  <c r="AV17" i="30" s="1"/>
  <c r="AV51" i="24" l="1"/>
  <c r="AV50" i="24"/>
  <c r="AV44" i="24"/>
  <c r="AV21" i="24"/>
  <c r="AV7" i="24"/>
  <c r="AU10" i="28" l="1"/>
  <c r="AV10" i="28" l="1"/>
  <c r="AV26" i="30" l="1"/>
  <c r="AO15" i="24" l="1"/>
  <c r="AO14" i="24"/>
  <c r="AN14" i="24"/>
  <c r="AM14" i="24"/>
  <c r="AL14" i="24"/>
  <c r="AK14" i="24"/>
  <c r="AJ14" i="24"/>
  <c r="AI14" i="24"/>
  <c r="AH14" i="24"/>
  <c r="AG14" i="24"/>
  <c r="AF14" i="24"/>
  <c r="AE14" i="24"/>
  <c r="AD14" i="24"/>
  <c r="AC14" i="24"/>
  <c r="AB14" i="24"/>
  <c r="AA14" i="24"/>
  <c r="Z14" i="24"/>
  <c r="Y14" i="24"/>
  <c r="X14" i="24"/>
  <c r="W14" i="24"/>
  <c r="V14" i="24"/>
  <c r="U14" i="24"/>
  <c r="T14" i="24"/>
  <c r="S14" i="24"/>
  <c r="R14" i="24"/>
  <c r="Q14" i="24"/>
  <c r="P14" i="24"/>
  <c r="O14" i="24"/>
  <c r="N14" i="24"/>
  <c r="M14" i="24"/>
  <c r="L14" i="24"/>
  <c r="K14" i="24"/>
  <c r="J14" i="24"/>
  <c r="I14" i="24"/>
  <c r="H14" i="24"/>
  <c r="G14" i="24"/>
  <c r="F14" i="24"/>
  <c r="E14" i="24"/>
  <c r="D14" i="24"/>
  <c r="C14" i="24"/>
  <c r="AO17" i="24"/>
  <c r="AO18" i="24"/>
  <c r="AN18" i="24"/>
  <c r="AM18" i="24"/>
  <c r="AL18" i="24"/>
  <c r="AK18" i="24"/>
  <c r="AJ18" i="24"/>
  <c r="AI18" i="24"/>
  <c r="AH18" i="24"/>
  <c r="AG18" i="24"/>
  <c r="AF18" i="24"/>
  <c r="AE18" i="24"/>
  <c r="AD18" i="24"/>
  <c r="AC18" i="24"/>
  <c r="AB18" i="24"/>
  <c r="AA18" i="24"/>
  <c r="Z18" i="24"/>
  <c r="Y18" i="24"/>
  <c r="X18" i="24"/>
  <c r="W18" i="24"/>
  <c r="V18" i="24"/>
  <c r="U18" i="24"/>
  <c r="T18" i="24"/>
  <c r="S18" i="24"/>
  <c r="R18" i="24"/>
  <c r="Q18" i="24"/>
  <c r="P18" i="24"/>
  <c r="O18" i="24"/>
  <c r="N18" i="24"/>
  <c r="M18" i="24"/>
  <c r="L18" i="24"/>
  <c r="K18" i="24"/>
  <c r="J18" i="24"/>
  <c r="I18" i="24"/>
  <c r="H18" i="24"/>
  <c r="G18" i="24"/>
  <c r="F18" i="24"/>
  <c r="E18" i="24"/>
  <c r="D18" i="24"/>
  <c r="C18" i="24"/>
  <c r="AU44" i="24"/>
  <c r="AU51" i="24"/>
  <c r="AU50" i="24"/>
  <c r="AU7" i="24"/>
  <c r="AP17" i="47"/>
  <c r="AO17" i="47"/>
  <c r="AN17" i="47"/>
  <c r="AM17" i="47"/>
  <c r="AL17" i="47"/>
  <c r="AK17" i="47"/>
  <c r="AJ17" i="47"/>
  <c r="AI17" i="47"/>
  <c r="AH17" i="47"/>
  <c r="AG17" i="47"/>
  <c r="AF17" i="47"/>
  <c r="AE17" i="47"/>
  <c r="AD17" i="47"/>
  <c r="AC17" i="47"/>
  <c r="AB17" i="47"/>
  <c r="AA17" i="47"/>
  <c r="Z17" i="47"/>
  <c r="Y17" i="47"/>
  <c r="X17" i="47"/>
  <c r="W17" i="47"/>
  <c r="V17" i="47"/>
  <c r="U17" i="47"/>
  <c r="T17" i="47"/>
  <c r="S17" i="47"/>
  <c r="R17" i="47"/>
  <c r="Q17" i="47"/>
  <c r="P17" i="47"/>
  <c r="O17" i="47"/>
  <c r="N17" i="47"/>
  <c r="M17" i="47"/>
  <c r="L17" i="47"/>
  <c r="K17" i="47"/>
  <c r="J17" i="47"/>
  <c r="I17" i="47"/>
  <c r="H17" i="47"/>
  <c r="G17" i="47"/>
  <c r="F17" i="47"/>
  <c r="E17" i="47"/>
  <c r="D17" i="47"/>
  <c r="C17" i="47"/>
  <c r="AT100" i="50" l="1"/>
  <c r="AS100" i="50"/>
  <c r="AR100" i="50"/>
  <c r="AQ100" i="50"/>
  <c r="AP100" i="50"/>
  <c r="AO100" i="50"/>
  <c r="AN100" i="50"/>
  <c r="AM100" i="50"/>
  <c r="AL100" i="50"/>
  <c r="AK100" i="50"/>
  <c r="AJ100" i="50"/>
  <c r="AI100" i="50"/>
  <c r="AH100" i="50"/>
  <c r="AG100" i="50"/>
  <c r="AF100" i="50"/>
  <c r="AD100" i="50"/>
  <c r="AC100" i="50"/>
  <c r="AB100" i="50"/>
  <c r="AA100" i="50"/>
  <c r="Z100" i="50"/>
  <c r="Y100" i="50"/>
  <c r="X100" i="50"/>
  <c r="W100" i="50"/>
  <c r="V100" i="50"/>
  <c r="U100" i="50"/>
  <c r="T100" i="50"/>
  <c r="S100" i="50"/>
  <c r="R100" i="50"/>
  <c r="Q100" i="50"/>
  <c r="P100" i="50"/>
  <c r="O100" i="50"/>
  <c r="N100" i="50"/>
  <c r="M100" i="50"/>
  <c r="L100" i="50"/>
  <c r="K100" i="50"/>
  <c r="J100" i="50"/>
  <c r="I100" i="50"/>
  <c r="H100" i="50"/>
  <c r="AT96" i="50"/>
  <c r="AS96" i="50"/>
  <c r="AR96" i="50"/>
  <c r="AQ96" i="50"/>
  <c r="AP96" i="50"/>
  <c r="AO96" i="50"/>
  <c r="AN96" i="50"/>
  <c r="AM96" i="50"/>
  <c r="AL96" i="50"/>
  <c r="AK96" i="50"/>
  <c r="AJ96" i="50"/>
  <c r="AI96" i="50"/>
  <c r="AH96" i="50"/>
  <c r="AG96" i="50"/>
  <c r="AF96" i="50"/>
  <c r="AE96" i="50"/>
  <c r="AD96" i="50"/>
  <c r="AC96" i="50"/>
  <c r="AB96" i="50"/>
  <c r="AA96" i="50"/>
  <c r="Z96" i="50"/>
  <c r="Y96" i="50"/>
  <c r="X96" i="50"/>
  <c r="W96" i="50"/>
  <c r="V96" i="50"/>
  <c r="U96" i="50"/>
  <c r="T96" i="50"/>
  <c r="S96" i="50"/>
  <c r="R96" i="50"/>
  <c r="Q96" i="50"/>
  <c r="P96" i="50"/>
  <c r="O96" i="50"/>
  <c r="N96" i="50"/>
  <c r="M96" i="50"/>
  <c r="L96" i="50"/>
  <c r="K96" i="50"/>
  <c r="J96" i="50"/>
  <c r="I96" i="50"/>
  <c r="H96" i="50"/>
  <c r="AT95" i="50"/>
  <c r="AS95" i="50"/>
  <c r="AR95" i="50"/>
  <c r="AQ95" i="50"/>
  <c r="AQ94" i="50" s="1"/>
  <c r="AP95" i="50"/>
  <c r="AO95" i="50"/>
  <c r="AN95" i="50"/>
  <c r="AM95" i="50"/>
  <c r="AL95" i="50"/>
  <c r="AK95" i="50"/>
  <c r="AJ95" i="50"/>
  <c r="AI95" i="50"/>
  <c r="AI94" i="50" s="1"/>
  <c r="AH95" i="50"/>
  <c r="AG95" i="50"/>
  <c r="AF95" i="50"/>
  <c r="AE95" i="50"/>
  <c r="AD95" i="50"/>
  <c r="AC95" i="50"/>
  <c r="AB95" i="50"/>
  <c r="AA95" i="50"/>
  <c r="AA94" i="50" s="1"/>
  <c r="Z95" i="50"/>
  <c r="Y95" i="50"/>
  <c r="X95" i="50"/>
  <c r="W95" i="50"/>
  <c r="V95" i="50"/>
  <c r="U95" i="50"/>
  <c r="T95" i="50"/>
  <c r="S95" i="50"/>
  <c r="S94" i="50" s="1"/>
  <c r="R95" i="50"/>
  <c r="Q95" i="50"/>
  <c r="P95" i="50"/>
  <c r="O95" i="50"/>
  <c r="N95" i="50"/>
  <c r="M95" i="50"/>
  <c r="L95" i="50"/>
  <c r="K95" i="50"/>
  <c r="K94" i="50" s="1"/>
  <c r="J95" i="50"/>
  <c r="I95" i="50"/>
  <c r="H95" i="50"/>
  <c r="AT90" i="50"/>
  <c r="AS90" i="50"/>
  <c r="AR90" i="50"/>
  <c r="AQ90" i="50"/>
  <c r="AP90" i="50"/>
  <c r="AO90" i="50"/>
  <c r="AN90" i="50"/>
  <c r="AM90" i="50"/>
  <c r="AL90" i="50"/>
  <c r="AK90" i="50"/>
  <c r="AJ90" i="50"/>
  <c r="AI90" i="50"/>
  <c r="AH90" i="50"/>
  <c r="AG90" i="50"/>
  <c r="AF90" i="50"/>
  <c r="AE90" i="50"/>
  <c r="AD90" i="50"/>
  <c r="AC90" i="50"/>
  <c r="AB90" i="50"/>
  <c r="AA90" i="50"/>
  <c r="Z90" i="50"/>
  <c r="Y90" i="50"/>
  <c r="X90" i="50"/>
  <c r="W90" i="50"/>
  <c r="V90" i="50"/>
  <c r="U90" i="50"/>
  <c r="T90" i="50"/>
  <c r="S90" i="50"/>
  <c r="R90" i="50"/>
  <c r="Q90" i="50"/>
  <c r="P90" i="50"/>
  <c r="O90" i="50"/>
  <c r="N90" i="50"/>
  <c r="M90" i="50"/>
  <c r="L90" i="50"/>
  <c r="K90" i="50"/>
  <c r="J90" i="50"/>
  <c r="I90" i="50"/>
  <c r="H90" i="50"/>
  <c r="AT84" i="50"/>
  <c r="AS84" i="50"/>
  <c r="AR84" i="50"/>
  <c r="AQ84" i="50"/>
  <c r="AP84" i="50"/>
  <c r="AO84" i="50"/>
  <c r="AN84" i="50"/>
  <c r="AM84" i="50"/>
  <c r="AL84" i="50"/>
  <c r="AK84" i="50"/>
  <c r="AJ84" i="50"/>
  <c r="AI84" i="50"/>
  <c r="AH84" i="50"/>
  <c r="AG84" i="50"/>
  <c r="AF84" i="50"/>
  <c r="AE84" i="50"/>
  <c r="AD84" i="50"/>
  <c r="AC84" i="50"/>
  <c r="AB84" i="50"/>
  <c r="AA84" i="50"/>
  <c r="Z84" i="50"/>
  <c r="Y84" i="50"/>
  <c r="X84" i="50"/>
  <c r="W84" i="50"/>
  <c r="V84" i="50"/>
  <c r="U84" i="50"/>
  <c r="T84" i="50"/>
  <c r="S84" i="50"/>
  <c r="R84" i="50"/>
  <c r="Q84" i="50"/>
  <c r="P84" i="50"/>
  <c r="O84" i="50"/>
  <c r="N84" i="50"/>
  <c r="M84" i="50"/>
  <c r="L84" i="50"/>
  <c r="K84" i="50"/>
  <c r="J84" i="50"/>
  <c r="I84" i="50"/>
  <c r="H84" i="50"/>
  <c r="AT81" i="50"/>
  <c r="AS81" i="50"/>
  <c r="AS5" i="52" s="1"/>
  <c r="AR81" i="50"/>
  <c r="AQ81" i="50"/>
  <c r="AP81" i="50"/>
  <c r="AO81" i="50"/>
  <c r="AN81" i="50"/>
  <c r="AM81" i="50"/>
  <c r="AL81" i="50"/>
  <c r="AK81" i="50"/>
  <c r="AJ81" i="50"/>
  <c r="AI81" i="50"/>
  <c r="AH81" i="50"/>
  <c r="AG81" i="50"/>
  <c r="AG5" i="52" s="1"/>
  <c r="AF81" i="50"/>
  <c r="AE81" i="50"/>
  <c r="AD81" i="50"/>
  <c r="AC81" i="50"/>
  <c r="AB81" i="50"/>
  <c r="AA81" i="50"/>
  <c r="Z81" i="50"/>
  <c r="Y81" i="50"/>
  <c r="X81" i="50"/>
  <c r="W81" i="50"/>
  <c r="V81" i="50"/>
  <c r="U81" i="50"/>
  <c r="T81" i="50"/>
  <c r="S81" i="50"/>
  <c r="R81" i="50"/>
  <c r="Q81" i="50"/>
  <c r="P81" i="50"/>
  <c r="O81" i="50"/>
  <c r="N81" i="50"/>
  <c r="M81" i="50"/>
  <c r="L81" i="50"/>
  <c r="K81" i="50"/>
  <c r="J81" i="50"/>
  <c r="I81" i="50"/>
  <c r="H81" i="50"/>
  <c r="AT78" i="50"/>
  <c r="AS78" i="50"/>
  <c r="AR78" i="50"/>
  <c r="AQ78" i="50"/>
  <c r="AP78" i="50"/>
  <c r="AO78" i="50"/>
  <c r="AN78" i="50"/>
  <c r="AM78" i="50"/>
  <c r="AL78" i="50"/>
  <c r="AK78" i="50"/>
  <c r="AJ78" i="50"/>
  <c r="AI78" i="50"/>
  <c r="AH78" i="50"/>
  <c r="AG78" i="50"/>
  <c r="AF78" i="50"/>
  <c r="AD78" i="50"/>
  <c r="AC78" i="50"/>
  <c r="AB78" i="50"/>
  <c r="AA78" i="50"/>
  <c r="Z78" i="50"/>
  <c r="Y78" i="50"/>
  <c r="X78" i="50"/>
  <c r="W78" i="50"/>
  <c r="V78" i="50"/>
  <c r="U78" i="50"/>
  <c r="T78" i="50"/>
  <c r="S78" i="50"/>
  <c r="R78" i="50"/>
  <c r="Q78" i="50"/>
  <c r="P78" i="50"/>
  <c r="O78" i="50"/>
  <c r="N78" i="50"/>
  <c r="M78" i="50"/>
  <c r="L78" i="50"/>
  <c r="K78" i="50"/>
  <c r="J78" i="50"/>
  <c r="I78" i="50"/>
  <c r="H78" i="50"/>
  <c r="AT72" i="50"/>
  <c r="AS72" i="50"/>
  <c r="AR72" i="50"/>
  <c r="AQ72" i="50"/>
  <c r="AP72" i="50"/>
  <c r="AO72" i="50"/>
  <c r="AN72" i="50"/>
  <c r="AM72" i="50"/>
  <c r="AL72" i="50"/>
  <c r="AK72" i="50"/>
  <c r="AJ72" i="50"/>
  <c r="AI72" i="50"/>
  <c r="AH72" i="50"/>
  <c r="AG72" i="50"/>
  <c r="AF72" i="50"/>
  <c r="AE72" i="50"/>
  <c r="AD72" i="50"/>
  <c r="AC72" i="50"/>
  <c r="AB72" i="50"/>
  <c r="AA72" i="50"/>
  <c r="Z72" i="50"/>
  <c r="Y72" i="50"/>
  <c r="X72" i="50"/>
  <c r="W72" i="50"/>
  <c r="V72" i="50"/>
  <c r="U72" i="50"/>
  <c r="T72" i="50"/>
  <c r="S72" i="50"/>
  <c r="R72" i="50"/>
  <c r="Q72" i="50"/>
  <c r="P72" i="50"/>
  <c r="O72" i="50"/>
  <c r="N72" i="50"/>
  <c r="M72" i="50"/>
  <c r="L72" i="50"/>
  <c r="K72" i="50"/>
  <c r="J72" i="50"/>
  <c r="I72" i="50"/>
  <c r="H72" i="50"/>
  <c r="AE71" i="50"/>
  <c r="AE78" i="50" s="1"/>
  <c r="AH70" i="50"/>
  <c r="AG70" i="50"/>
  <c r="AF70" i="50"/>
  <c r="AE70" i="50"/>
  <c r="AD70" i="50"/>
  <c r="AC70" i="50"/>
  <c r="AB70" i="50"/>
  <c r="AA70" i="50"/>
  <c r="Z70" i="50"/>
  <c r="Y70" i="50"/>
  <c r="X70" i="50"/>
  <c r="V70" i="50"/>
  <c r="V69" i="50" s="1"/>
  <c r="U70" i="50"/>
  <c r="U69" i="50" s="1"/>
  <c r="U6" i="52" s="1"/>
  <c r="T70" i="50"/>
  <c r="T69" i="50" s="1"/>
  <c r="T6" i="52" s="1"/>
  <c r="S70" i="50"/>
  <c r="S69" i="50" s="1"/>
  <c r="S6" i="52" s="1"/>
  <c r="R70" i="50"/>
  <c r="R69" i="50" s="1"/>
  <c r="Q70" i="50"/>
  <c r="Q69" i="50" s="1"/>
  <c r="Q6" i="52" s="1"/>
  <c r="O70" i="50"/>
  <c r="O69" i="50" s="1"/>
  <c r="O6" i="52" s="1"/>
  <c r="M70" i="50"/>
  <c r="M69" i="50" s="1"/>
  <c r="M6" i="52" s="1"/>
  <c r="L70" i="50"/>
  <c r="L69" i="50" s="1"/>
  <c r="L6" i="52" s="1"/>
  <c r="AT69" i="50"/>
  <c r="AS69" i="50"/>
  <c r="AR69" i="50"/>
  <c r="AR6" i="52" s="1"/>
  <c r="AQ69" i="50"/>
  <c r="AP69" i="50"/>
  <c r="AO69" i="50"/>
  <c r="AN69" i="50"/>
  <c r="AN6" i="52" s="1"/>
  <c r="AM69" i="50"/>
  <c r="AL69" i="50"/>
  <c r="AK69" i="50"/>
  <c r="AJ69" i="50"/>
  <c r="AJ6" i="52" s="1"/>
  <c r="AI69" i="50"/>
  <c r="AH69" i="50"/>
  <c r="AG69" i="50"/>
  <c r="AF69" i="50"/>
  <c r="AF6" i="52" s="1"/>
  <c r="AD69" i="50"/>
  <c r="AC69" i="50"/>
  <c r="AB69" i="50"/>
  <c r="AB6" i="52" s="1"/>
  <c r="AA69" i="50"/>
  <c r="Z69" i="50"/>
  <c r="Y69" i="50"/>
  <c r="X69" i="50"/>
  <c r="X6" i="52" s="1"/>
  <c r="W69" i="50"/>
  <c r="P69" i="50"/>
  <c r="P6" i="52" s="1"/>
  <c r="N69" i="50"/>
  <c r="K69" i="50"/>
  <c r="J69" i="50"/>
  <c r="I69" i="50"/>
  <c r="H69" i="50"/>
  <c r="H6" i="52" s="1"/>
  <c r="AE69" i="50" l="1"/>
  <c r="O94" i="50"/>
  <c r="W94" i="50"/>
  <c r="AE94" i="50"/>
  <c r="AM94" i="50"/>
  <c r="Z94" i="50"/>
  <c r="M94" i="50"/>
  <c r="Q94" i="50"/>
  <c r="Y94" i="50"/>
  <c r="AG94" i="50"/>
  <c r="AO94" i="50"/>
  <c r="I94" i="50"/>
  <c r="U94" i="50"/>
  <c r="AC94" i="50"/>
  <c r="AK94" i="50"/>
  <c r="AS94" i="50"/>
  <c r="U20" i="52"/>
  <c r="AD77" i="50"/>
  <c r="AD6" i="52"/>
  <c r="AL77" i="50"/>
  <c r="AL6" i="52"/>
  <c r="AT77" i="50"/>
  <c r="AT6" i="52"/>
  <c r="I89" i="50"/>
  <c r="I5" i="52"/>
  <c r="M89" i="50"/>
  <c r="M5" i="52"/>
  <c r="Q89" i="50"/>
  <c r="Q5" i="52"/>
  <c r="U89" i="50"/>
  <c r="U5" i="52"/>
  <c r="Y89" i="50"/>
  <c r="Y5" i="52"/>
  <c r="AC89" i="50"/>
  <c r="AC5" i="52"/>
  <c r="AK89" i="50"/>
  <c r="AK5" i="52"/>
  <c r="AO89" i="50"/>
  <c r="AO5" i="52"/>
  <c r="H94" i="50"/>
  <c r="L94" i="50"/>
  <c r="P94" i="50"/>
  <c r="T94" i="50"/>
  <c r="X94" i="50"/>
  <c r="N77" i="50"/>
  <c r="N6" i="52"/>
  <c r="N20" i="52" s="1"/>
  <c r="J77" i="50"/>
  <c r="J6" i="52"/>
  <c r="Z77" i="50"/>
  <c r="Z6" i="52"/>
  <c r="AH77" i="50"/>
  <c r="AH6" i="52"/>
  <c r="AP77" i="50"/>
  <c r="AP6" i="52"/>
  <c r="K92" i="50"/>
  <c r="K99" i="50" s="1"/>
  <c r="K6" i="52"/>
  <c r="W92" i="50"/>
  <c r="W99" i="50" s="1"/>
  <c r="W6" i="52"/>
  <c r="AA92" i="50"/>
  <c r="AA99" i="50" s="1"/>
  <c r="AA6" i="52"/>
  <c r="AE92" i="50"/>
  <c r="AE98" i="50" s="1"/>
  <c r="AE6" i="52"/>
  <c r="AI92" i="50"/>
  <c r="AI99" i="50" s="1"/>
  <c r="AI6" i="52"/>
  <c r="AJ20" i="52" s="1"/>
  <c r="AM92" i="50"/>
  <c r="AM99" i="50" s="1"/>
  <c r="AM6" i="52"/>
  <c r="AN20" i="52" s="1"/>
  <c r="AQ92" i="50"/>
  <c r="AQ99" i="50" s="1"/>
  <c r="AQ6" i="52"/>
  <c r="AR20" i="52" s="1"/>
  <c r="M20" i="52"/>
  <c r="P21" i="52"/>
  <c r="R77" i="50"/>
  <c r="R6" i="52"/>
  <c r="R20" i="52" s="1"/>
  <c r="V77" i="50"/>
  <c r="V6" i="52"/>
  <c r="W21" i="52" s="1"/>
  <c r="J89" i="50"/>
  <c r="J5" i="52"/>
  <c r="N89" i="50"/>
  <c r="N5" i="52"/>
  <c r="R89" i="50"/>
  <c r="R5" i="52"/>
  <c r="V89" i="50"/>
  <c r="V5" i="52"/>
  <c r="Z89" i="50"/>
  <c r="Z5" i="52"/>
  <c r="AD89" i="50"/>
  <c r="AD5" i="52"/>
  <c r="AH89" i="50"/>
  <c r="AH5" i="52"/>
  <c r="AL89" i="50"/>
  <c r="AL5" i="52"/>
  <c r="AP89" i="50"/>
  <c r="AP5" i="52"/>
  <c r="AT89" i="50"/>
  <c r="AT5" i="52"/>
  <c r="T20" i="52"/>
  <c r="K89" i="50"/>
  <c r="K5" i="52"/>
  <c r="O89" i="50"/>
  <c r="O5" i="52"/>
  <c r="S89" i="50"/>
  <c r="S5" i="52"/>
  <c r="W89" i="50"/>
  <c r="W5" i="52"/>
  <c r="AA89" i="50"/>
  <c r="AA5" i="52"/>
  <c r="AE89" i="50"/>
  <c r="AE5" i="52"/>
  <c r="AI89" i="50"/>
  <c r="AI5" i="52"/>
  <c r="AM89" i="50"/>
  <c r="AM5" i="52"/>
  <c r="AQ89" i="50"/>
  <c r="AQ5" i="52"/>
  <c r="J94" i="50"/>
  <c r="N94" i="50"/>
  <c r="R94" i="50"/>
  <c r="V94" i="50"/>
  <c r="AD94" i="50"/>
  <c r="AH94" i="50"/>
  <c r="AL94" i="50"/>
  <c r="AP94" i="50"/>
  <c r="AT94" i="50"/>
  <c r="I77" i="50"/>
  <c r="I6" i="52"/>
  <c r="Q20" i="52"/>
  <c r="Y77" i="50"/>
  <c r="Y6" i="52"/>
  <c r="Y20" i="52" s="1"/>
  <c r="AC77" i="50"/>
  <c r="AC6" i="52"/>
  <c r="AG77" i="50"/>
  <c r="AG6" i="52"/>
  <c r="AK77" i="50"/>
  <c r="AK6" i="52"/>
  <c r="AK20" i="52" s="1"/>
  <c r="AO77" i="50"/>
  <c r="AO6" i="52"/>
  <c r="AS77" i="50"/>
  <c r="AS6" i="52"/>
  <c r="AT20" i="52" s="1"/>
  <c r="P20" i="52"/>
  <c r="H89" i="50"/>
  <c r="H5" i="52"/>
  <c r="L89" i="50"/>
  <c r="L5" i="52"/>
  <c r="P89" i="50"/>
  <c r="P5" i="52"/>
  <c r="T89" i="50"/>
  <c r="T5" i="52"/>
  <c r="X89" i="50"/>
  <c r="X5" i="52"/>
  <c r="AB89" i="50"/>
  <c r="AB5" i="52"/>
  <c r="AF89" i="50"/>
  <c r="AF5" i="52"/>
  <c r="AJ89" i="50"/>
  <c r="AJ5" i="52"/>
  <c r="AN89" i="50"/>
  <c r="AN5" i="52"/>
  <c r="AN7" i="52" s="1"/>
  <c r="AR89" i="50"/>
  <c r="AR5" i="52"/>
  <c r="AM77" i="50"/>
  <c r="T92" i="50"/>
  <c r="T99" i="50" s="1"/>
  <c r="W77" i="50"/>
  <c r="AE100" i="50"/>
  <c r="O92" i="50"/>
  <c r="O99" i="50" s="1"/>
  <c r="O77" i="50"/>
  <c r="AA77" i="50"/>
  <c r="AQ77" i="50"/>
  <c r="AG92" i="50"/>
  <c r="AG99" i="50" s="1"/>
  <c r="AS92" i="50"/>
  <c r="AS99" i="50" s="1"/>
  <c r="P92" i="50"/>
  <c r="P99" i="50" s="1"/>
  <c r="K77" i="50"/>
  <c r="AE77" i="50"/>
  <c r="AB94" i="50"/>
  <c r="AF94" i="50"/>
  <c r="AJ94" i="50"/>
  <c r="AN94" i="50"/>
  <c r="AR94" i="50"/>
  <c r="H92" i="50"/>
  <c r="H99" i="50" s="1"/>
  <c r="L92" i="50"/>
  <c r="L99" i="50" s="1"/>
  <c r="X92" i="50"/>
  <c r="X99" i="50" s="1"/>
  <c r="AB92" i="50"/>
  <c r="AB99" i="50" s="1"/>
  <c r="AF92" i="50"/>
  <c r="AF99" i="50" s="1"/>
  <c r="AJ92" i="50"/>
  <c r="AJ99" i="50" s="1"/>
  <c r="AN92" i="50"/>
  <c r="AN99" i="50" s="1"/>
  <c r="AR92" i="50"/>
  <c r="AR99" i="50" s="1"/>
  <c r="AI77" i="50"/>
  <c r="Q92" i="50"/>
  <c r="Q99" i="50" s="1"/>
  <c r="Q77" i="50"/>
  <c r="U77" i="50"/>
  <c r="U92" i="50"/>
  <c r="K98" i="50"/>
  <c r="W98" i="50"/>
  <c r="AA98" i="50"/>
  <c r="AQ98" i="50"/>
  <c r="X98" i="50"/>
  <c r="M77" i="50"/>
  <c r="M92" i="50"/>
  <c r="M99" i="50" s="1"/>
  <c r="S77" i="50"/>
  <c r="S92" i="50"/>
  <c r="S99" i="50" s="1"/>
  <c r="I92" i="50"/>
  <c r="I99" i="50" s="1"/>
  <c r="AC92" i="50"/>
  <c r="AO92" i="50"/>
  <c r="H77" i="50"/>
  <c r="L77" i="50"/>
  <c r="P77" i="50"/>
  <c r="T77" i="50"/>
  <c r="X77" i="50"/>
  <c r="AB77" i="50"/>
  <c r="AF77" i="50"/>
  <c r="AJ77" i="50"/>
  <c r="AN77" i="50"/>
  <c r="AR77" i="50"/>
  <c r="J92" i="50"/>
  <c r="J99" i="50" s="1"/>
  <c r="N92" i="50"/>
  <c r="N99" i="50" s="1"/>
  <c r="R92" i="50"/>
  <c r="R99" i="50" s="1"/>
  <c r="V92" i="50"/>
  <c r="V99" i="50" s="1"/>
  <c r="Z92" i="50"/>
  <c r="Z99" i="50" s="1"/>
  <c r="AD92" i="50"/>
  <c r="AD99" i="50" s="1"/>
  <c r="AH92" i="50"/>
  <c r="AH99" i="50" s="1"/>
  <c r="AL92" i="50"/>
  <c r="AL99" i="50" s="1"/>
  <c r="AP92" i="50"/>
  <c r="AP99" i="50" s="1"/>
  <c r="AT92" i="50"/>
  <c r="AT99" i="50" s="1"/>
  <c r="Y92" i="50"/>
  <c r="AK92" i="50"/>
  <c r="AG89" i="50"/>
  <c r="AS89" i="50"/>
  <c r="AU22" i="49"/>
  <c r="AT22" i="49"/>
  <c r="AS22" i="49"/>
  <c r="AR22" i="49"/>
  <c r="AQ22" i="49"/>
  <c r="AP22" i="49"/>
  <c r="AU8" i="49"/>
  <c r="AT8" i="49"/>
  <c r="AS8" i="49"/>
  <c r="AR8" i="49"/>
  <c r="AQ8" i="49"/>
  <c r="AP8" i="49"/>
  <c r="AS98" i="50" l="1"/>
  <c r="T98" i="50"/>
  <c r="AJ98" i="50"/>
  <c r="AT7" i="52"/>
  <c r="AM98" i="50"/>
  <c r="AI98" i="50"/>
  <c r="P98" i="50"/>
  <c r="AE99" i="50"/>
  <c r="H98" i="50"/>
  <c r="Q21" i="52"/>
  <c r="S21" i="52"/>
  <c r="AJ21" i="52"/>
  <c r="AF21" i="52"/>
  <c r="T21" i="52"/>
  <c r="AB98" i="50"/>
  <c r="Y21" i="52"/>
  <c r="AF98" i="50"/>
  <c r="AT18" i="52"/>
  <c r="AP7" i="52"/>
  <c r="AQ17" i="52"/>
  <c r="AH7" i="52"/>
  <c r="AI17" i="52"/>
  <c r="AD18" i="52"/>
  <c r="Z7" i="52"/>
  <c r="AA17" i="52"/>
  <c r="R7" i="52"/>
  <c r="V18" i="52"/>
  <c r="S17" i="52"/>
  <c r="N18" i="52"/>
  <c r="J7" i="52"/>
  <c r="K17" i="52"/>
  <c r="V21" i="52"/>
  <c r="S20" i="52"/>
  <c r="AB20" i="52"/>
  <c r="AE21" i="52"/>
  <c r="O21" i="52"/>
  <c r="L20" i="52"/>
  <c r="AT21" i="52"/>
  <c r="AQ20" i="52"/>
  <c r="AD21" i="52"/>
  <c r="AA20" i="52"/>
  <c r="R21" i="52"/>
  <c r="O20" i="52"/>
  <c r="AS7" i="52"/>
  <c r="AT23" i="52" s="1"/>
  <c r="AC7" i="52"/>
  <c r="AG18" i="52"/>
  <c r="AD17" i="52"/>
  <c r="V17" i="52"/>
  <c r="Y18" i="52"/>
  <c r="U7" i="52"/>
  <c r="M7" i="52"/>
  <c r="N17" i="52"/>
  <c r="Q18" i="52"/>
  <c r="V20" i="52"/>
  <c r="AM20" i="52"/>
  <c r="X21" i="52"/>
  <c r="AS17" i="52"/>
  <c r="AR7" i="52"/>
  <c r="AJ7" i="52"/>
  <c r="AK17" i="52"/>
  <c r="AC17" i="52"/>
  <c r="AB7" i="52"/>
  <c r="AF18" i="52"/>
  <c r="T7" i="52"/>
  <c r="U17" i="52"/>
  <c r="X18" i="52"/>
  <c r="M17" i="52"/>
  <c r="L7" i="52"/>
  <c r="P18" i="52"/>
  <c r="AS21" i="52"/>
  <c r="AP20" i="52"/>
  <c r="AH20" i="52"/>
  <c r="AK21" i="52"/>
  <c r="AC21" i="52"/>
  <c r="Z20" i="52"/>
  <c r="M21" i="52"/>
  <c r="J20" i="52"/>
  <c r="AG20" i="52"/>
  <c r="AR17" i="52"/>
  <c r="AQ7" i="52"/>
  <c r="AI7" i="52"/>
  <c r="AJ17" i="52"/>
  <c r="AA7" i="52"/>
  <c r="AE18" i="52"/>
  <c r="AB17" i="52"/>
  <c r="S7" i="52"/>
  <c r="W18" i="52"/>
  <c r="T17" i="52"/>
  <c r="K7" i="52"/>
  <c r="O18" i="52"/>
  <c r="L17" i="52"/>
  <c r="AB21" i="52"/>
  <c r="AP17" i="52"/>
  <c r="AO7" i="52"/>
  <c r="AS18" i="52"/>
  <c r="AK18" i="52"/>
  <c r="O98" i="50"/>
  <c r="AM17" i="52"/>
  <c r="AL7" i="52"/>
  <c r="AD7" i="52"/>
  <c r="AH18" i="52"/>
  <c r="AE17" i="52"/>
  <c r="Z18" i="52"/>
  <c r="W17" i="52"/>
  <c r="V7" i="52"/>
  <c r="N7" i="52"/>
  <c r="R18" i="52"/>
  <c r="O17" i="52"/>
  <c r="Z21" i="52"/>
  <c r="W20" i="52"/>
  <c r="AI21" i="52"/>
  <c r="AF20" i="52"/>
  <c r="X20" i="52"/>
  <c r="AA21" i="52"/>
  <c r="U21" i="52"/>
  <c r="AI20" i="52"/>
  <c r="K20" i="52"/>
  <c r="N21" i="52"/>
  <c r="AH17" i="52"/>
  <c r="AC18" i="52"/>
  <c r="Y7" i="52"/>
  <c r="Z17" i="52"/>
  <c r="Q7" i="52"/>
  <c r="R17" i="52"/>
  <c r="U18" i="52"/>
  <c r="J17" i="52"/>
  <c r="I7" i="52"/>
  <c r="M18" i="52"/>
  <c r="AE20" i="52"/>
  <c r="AH21" i="52"/>
  <c r="L21" i="52"/>
  <c r="AJ18" i="52"/>
  <c r="AF7" i="52"/>
  <c r="AG17" i="52"/>
  <c r="AB18" i="52"/>
  <c r="X7" i="52"/>
  <c r="Y17" i="52"/>
  <c r="T18" i="52"/>
  <c r="P7" i="52"/>
  <c r="Q17" i="52"/>
  <c r="H7" i="52"/>
  <c r="L18" i="52"/>
  <c r="I17" i="52"/>
  <c r="AG21" i="52"/>
  <c r="AD20" i="52"/>
  <c r="AS20" i="52"/>
  <c r="AC20" i="52"/>
  <c r="AN17" i="52"/>
  <c r="AM7" i="52"/>
  <c r="AN23" i="52" s="1"/>
  <c r="AI18" i="52"/>
  <c r="AF17" i="52"/>
  <c r="AE7" i="52"/>
  <c r="X17" i="52"/>
  <c r="W7" i="52"/>
  <c r="AA18" i="52"/>
  <c r="S18" i="52"/>
  <c r="P17" i="52"/>
  <c r="O7" i="52"/>
  <c r="AT17" i="52"/>
  <c r="AK7" i="52"/>
  <c r="AG7" i="52"/>
  <c r="I20" i="52"/>
  <c r="AP6" i="49"/>
  <c r="AT6" i="49"/>
  <c r="AR98" i="50"/>
  <c r="AU6" i="49"/>
  <c r="AG98" i="50"/>
  <c r="AN98" i="50"/>
  <c r="AQ6" i="49"/>
  <c r="N98" i="50"/>
  <c r="Q98" i="50"/>
  <c r="L98" i="50"/>
  <c r="AP98" i="50"/>
  <c r="AL98" i="50"/>
  <c r="AR6" i="49"/>
  <c r="AS6" i="49"/>
  <c r="AK99" i="50"/>
  <c r="AK98" i="50"/>
  <c r="AO99" i="50"/>
  <c r="AO98" i="50"/>
  <c r="S98" i="50"/>
  <c r="AD98" i="50"/>
  <c r="AH98" i="50"/>
  <c r="Y99" i="50"/>
  <c r="Y98" i="50"/>
  <c r="AC99" i="50"/>
  <c r="AC98" i="50"/>
  <c r="V98" i="50"/>
  <c r="M98" i="50"/>
  <c r="Z98" i="50"/>
  <c r="U99" i="50"/>
  <c r="U98" i="50"/>
  <c r="AT98" i="50"/>
  <c r="J98" i="50"/>
  <c r="I98" i="50"/>
  <c r="R98" i="50"/>
  <c r="AU19" i="47"/>
  <c r="AU22" i="47"/>
  <c r="AP27" i="47"/>
  <c r="AO27" i="47"/>
  <c r="AN27" i="47"/>
  <c r="AM27" i="47"/>
  <c r="AL27" i="47"/>
  <c r="AK27" i="47"/>
  <c r="AJ27" i="47"/>
  <c r="AI27" i="47"/>
  <c r="AH27" i="47"/>
  <c r="AG27" i="47"/>
  <c r="AF27" i="47"/>
  <c r="AE27" i="47"/>
  <c r="AD27" i="47"/>
  <c r="AC27" i="47"/>
  <c r="AB27" i="47"/>
  <c r="AA27" i="47"/>
  <c r="Z27" i="47"/>
  <c r="Y27" i="47"/>
  <c r="X27" i="47"/>
  <c r="W27" i="47"/>
  <c r="V27" i="47"/>
  <c r="U27" i="47"/>
  <c r="T27" i="47"/>
  <c r="S27" i="47"/>
  <c r="R27" i="47"/>
  <c r="Q27" i="47"/>
  <c r="P27" i="47"/>
  <c r="O27" i="47"/>
  <c r="N27" i="47"/>
  <c r="M27" i="47"/>
  <c r="L27" i="47"/>
  <c r="K27" i="47"/>
  <c r="J27" i="47"/>
  <c r="I27" i="47"/>
  <c r="H27" i="47"/>
  <c r="G27" i="47"/>
  <c r="F27" i="47"/>
  <c r="E27" i="47"/>
  <c r="D27" i="47"/>
  <c r="C27" i="47"/>
  <c r="AT24" i="47"/>
  <c r="AS24" i="47"/>
  <c r="AS29" i="47" s="1"/>
  <c r="AR24" i="47"/>
  <c r="AR29" i="47" s="1"/>
  <c r="AQ24" i="47"/>
  <c r="AQ29" i="47" s="1"/>
  <c r="AP24" i="47"/>
  <c r="AO24" i="47"/>
  <c r="AN24" i="47"/>
  <c r="AM24" i="47"/>
  <c r="AM29" i="47" s="1"/>
  <c r="AL24" i="47"/>
  <c r="AL29" i="47" s="1"/>
  <c r="AK24" i="47"/>
  <c r="AJ24" i="47"/>
  <c r="AI24" i="47"/>
  <c r="AH24" i="47"/>
  <c r="AG24" i="47"/>
  <c r="AF24" i="47"/>
  <c r="AE24" i="47"/>
  <c r="AE29" i="47" s="1"/>
  <c r="AD24" i="47"/>
  <c r="AD29" i="47" s="1"/>
  <c r="AC24" i="47"/>
  <c r="AB24" i="47"/>
  <c r="AA24" i="47"/>
  <c r="Z24" i="47"/>
  <c r="Y24" i="47"/>
  <c r="X24" i="47"/>
  <c r="W24" i="47"/>
  <c r="W29" i="47" s="1"/>
  <c r="V24" i="47"/>
  <c r="V29" i="47" s="1"/>
  <c r="U24" i="47"/>
  <c r="T24" i="47"/>
  <c r="S24" i="47"/>
  <c r="R24" i="47"/>
  <c r="Q24" i="47"/>
  <c r="P24" i="47"/>
  <c r="O24" i="47"/>
  <c r="O29" i="47" s="1"/>
  <c r="N24" i="47"/>
  <c r="N29" i="47" s="1"/>
  <c r="M24" i="47"/>
  <c r="M29" i="47" s="1"/>
  <c r="L24" i="47"/>
  <c r="K24" i="47"/>
  <c r="J24" i="47"/>
  <c r="I24" i="47"/>
  <c r="H24" i="47"/>
  <c r="G24" i="47"/>
  <c r="G29" i="47" s="1"/>
  <c r="F24" i="47"/>
  <c r="F29" i="47" s="1"/>
  <c r="E24" i="47"/>
  <c r="E29" i="47" s="1"/>
  <c r="D24" i="47"/>
  <c r="C24" i="47"/>
  <c r="H29" i="47" l="1"/>
  <c r="P29" i="47"/>
  <c r="X29" i="47"/>
  <c r="AF29" i="47"/>
  <c r="AN29" i="47"/>
  <c r="Y29" i="47"/>
  <c r="Q29" i="47"/>
  <c r="AO29" i="47"/>
  <c r="I29" i="47"/>
  <c r="AG29" i="47"/>
  <c r="J29" i="47"/>
  <c r="R29" i="47"/>
  <c r="Z29" i="47"/>
  <c r="AH29" i="47"/>
  <c r="C29" i="47"/>
  <c r="S29" i="47"/>
  <c r="AI29" i="47"/>
  <c r="K29" i="47"/>
  <c r="AA29" i="47"/>
  <c r="D29" i="47"/>
  <c r="L29" i="47"/>
  <c r="T29" i="47"/>
  <c r="AB29" i="47"/>
  <c r="AJ29" i="47"/>
  <c r="U29" i="47"/>
  <c r="AC29" i="47"/>
  <c r="AK29" i="47"/>
  <c r="AS23" i="52"/>
  <c r="AI24" i="52"/>
  <c r="AM23" i="52"/>
  <c r="Y23" i="52"/>
  <c r="AB24" i="52"/>
  <c r="AE23" i="52"/>
  <c r="AH24" i="52"/>
  <c r="AR23" i="52"/>
  <c r="M23" i="52"/>
  <c r="P24" i="52"/>
  <c r="X24" i="52"/>
  <c r="U23" i="52"/>
  <c r="AA23" i="52"/>
  <c r="AD24" i="52"/>
  <c r="Q23" i="52"/>
  <c r="T24" i="52"/>
  <c r="M24" i="52"/>
  <c r="J23" i="52"/>
  <c r="U24" i="52"/>
  <c r="R23" i="52"/>
  <c r="AB23" i="52"/>
  <c r="AE24" i="52"/>
  <c r="AK23" i="52"/>
  <c r="Q24" i="52"/>
  <c r="N23" i="52"/>
  <c r="AQ23" i="52"/>
  <c r="AT24" i="52"/>
  <c r="P23" i="52"/>
  <c r="S24" i="52"/>
  <c r="X23" i="52"/>
  <c r="AA24" i="52"/>
  <c r="O23" i="52"/>
  <c r="R24" i="52"/>
  <c r="AS24" i="52"/>
  <c r="AP23" i="52"/>
  <c r="T23" i="52"/>
  <c r="W24" i="52"/>
  <c r="AC23" i="52"/>
  <c r="AF24" i="52"/>
  <c r="V23" i="52"/>
  <c r="Y24" i="52"/>
  <c r="K23" i="52"/>
  <c r="N24" i="52"/>
  <c r="V24" i="52"/>
  <c r="S23" i="52"/>
  <c r="AK24" i="52"/>
  <c r="AH23" i="52"/>
  <c r="I23" i="52"/>
  <c r="L24" i="52"/>
  <c r="AF23" i="52"/>
  <c r="AG23" i="52"/>
  <c r="AJ24" i="52"/>
  <c r="AC24" i="52"/>
  <c r="Z23" i="52"/>
  <c r="W23" i="52"/>
  <c r="Z24" i="52"/>
  <c r="L23" i="52"/>
  <c r="O24" i="52"/>
  <c r="AJ23" i="52"/>
  <c r="AG24" i="52"/>
  <c r="AD23" i="52"/>
  <c r="AI23" i="52"/>
  <c r="AP29" i="47"/>
  <c r="AT29" i="47"/>
  <c r="AU29" i="47"/>
  <c r="AO41" i="44"/>
  <c r="AN41" i="44"/>
  <c r="AM41" i="44"/>
  <c r="AL41" i="44"/>
  <c r="AK41" i="44"/>
  <c r="AJ41" i="44"/>
  <c r="AI41" i="44"/>
  <c r="AH41" i="44"/>
  <c r="AG41" i="44"/>
  <c r="AG19" i="24" s="1"/>
  <c r="AF41" i="44"/>
  <c r="AE41" i="44"/>
  <c r="AD41" i="44"/>
  <c r="AC41" i="44"/>
  <c r="AB41" i="44"/>
  <c r="AA41" i="44"/>
  <c r="Z41" i="44"/>
  <c r="Y41" i="44"/>
  <c r="X41" i="44"/>
  <c r="W41" i="44"/>
  <c r="V41" i="44"/>
  <c r="U41" i="44"/>
  <c r="T41" i="44"/>
  <c r="S41" i="44"/>
  <c r="R41" i="44"/>
  <c r="Q41" i="44"/>
  <c r="P41" i="44"/>
  <c r="O41" i="44"/>
  <c r="N41" i="44"/>
  <c r="M41" i="44"/>
  <c r="L41" i="44"/>
  <c r="K41" i="44"/>
  <c r="J41" i="44"/>
  <c r="I41" i="44"/>
  <c r="H41" i="44"/>
  <c r="G41" i="44"/>
  <c r="F41" i="44"/>
  <c r="E38" i="44"/>
  <c r="E41" i="44" s="1"/>
  <c r="D38" i="44"/>
  <c r="D41" i="44" s="1"/>
  <c r="C38" i="44"/>
  <c r="C41" i="44" s="1"/>
  <c r="AO35" i="44"/>
  <c r="AN35" i="44"/>
  <c r="AM35" i="44"/>
  <c r="AL35" i="44"/>
  <c r="AK35" i="44"/>
  <c r="AJ35" i="44"/>
  <c r="AI35" i="44"/>
  <c r="AH35" i="44"/>
  <c r="AG35" i="44"/>
  <c r="AF35" i="44"/>
  <c r="AE35" i="44"/>
  <c r="AD35" i="44"/>
  <c r="AC35" i="44"/>
  <c r="AB35" i="44"/>
  <c r="AA35" i="44"/>
  <c r="Z35" i="44"/>
  <c r="Y35" i="44"/>
  <c r="X35" i="44"/>
  <c r="W35" i="44"/>
  <c r="V35" i="44"/>
  <c r="U35" i="44"/>
  <c r="T35" i="44"/>
  <c r="S35" i="44"/>
  <c r="R35" i="44"/>
  <c r="Q35" i="44"/>
  <c r="P35" i="44"/>
  <c r="O35" i="44"/>
  <c r="N35" i="44"/>
  <c r="M35" i="44"/>
  <c r="L35" i="44"/>
  <c r="K35" i="44"/>
  <c r="J35" i="44"/>
  <c r="I35" i="44"/>
  <c r="H35" i="44"/>
  <c r="G35" i="44"/>
  <c r="F35" i="44"/>
  <c r="E35" i="44"/>
  <c r="D35" i="44"/>
  <c r="C35" i="44"/>
  <c r="AO20" i="44"/>
  <c r="AO13" i="24" s="1"/>
  <c r="AN20" i="44"/>
  <c r="AN13" i="24" s="1"/>
  <c r="AM20" i="44"/>
  <c r="AM13" i="24" s="1"/>
  <c r="AL20" i="44"/>
  <c r="AL13" i="24" s="1"/>
  <c r="AK20" i="44"/>
  <c r="AK13" i="24" s="1"/>
  <c r="AJ20" i="44"/>
  <c r="AJ13" i="24" s="1"/>
  <c r="AI20" i="44"/>
  <c r="AI13" i="24" s="1"/>
  <c r="AH20" i="44"/>
  <c r="AH13" i="24" s="1"/>
  <c r="AG20" i="44"/>
  <c r="AG13" i="24" s="1"/>
  <c r="AF20" i="44"/>
  <c r="AF13" i="24" s="1"/>
  <c r="AE20" i="44"/>
  <c r="AE13" i="24" s="1"/>
  <c r="AD20" i="44"/>
  <c r="AD13" i="24" s="1"/>
  <c r="AC20" i="44"/>
  <c r="AC13" i="24" s="1"/>
  <c r="AB20" i="44"/>
  <c r="AB13" i="24" s="1"/>
  <c r="AA20" i="44"/>
  <c r="AA13" i="24" s="1"/>
  <c r="Z20" i="44"/>
  <c r="Z13" i="24" s="1"/>
  <c r="Y20" i="44"/>
  <c r="Y13" i="24" s="1"/>
  <c r="X20" i="44"/>
  <c r="X13" i="24" s="1"/>
  <c r="W20" i="44"/>
  <c r="W13" i="24" s="1"/>
  <c r="V20" i="44"/>
  <c r="V13" i="24" s="1"/>
  <c r="U20" i="44"/>
  <c r="U13" i="24" s="1"/>
  <c r="T20" i="44"/>
  <c r="T13" i="24" s="1"/>
  <c r="S20" i="44"/>
  <c r="S13" i="24" s="1"/>
  <c r="R20" i="44"/>
  <c r="R13" i="24" s="1"/>
  <c r="Q20" i="44"/>
  <c r="Q13" i="24" s="1"/>
  <c r="P20" i="44"/>
  <c r="P13" i="24" s="1"/>
  <c r="O20" i="44"/>
  <c r="O13" i="24" s="1"/>
  <c r="N20" i="44"/>
  <c r="N13" i="24" s="1"/>
  <c r="M20" i="44"/>
  <c r="M13" i="24" s="1"/>
  <c r="L20" i="44"/>
  <c r="L13" i="24" s="1"/>
  <c r="K20" i="44"/>
  <c r="K13" i="24" s="1"/>
  <c r="J20" i="44"/>
  <c r="J13" i="24" s="1"/>
  <c r="I20" i="44"/>
  <c r="I13" i="24" s="1"/>
  <c r="H20" i="44"/>
  <c r="H13" i="24" s="1"/>
  <c r="G20" i="44"/>
  <c r="G13" i="24" s="1"/>
  <c r="F20" i="44"/>
  <c r="F13" i="24" s="1"/>
  <c r="E20" i="44"/>
  <c r="E13" i="24" s="1"/>
  <c r="D20" i="44"/>
  <c r="D13" i="24" s="1"/>
  <c r="C20" i="44"/>
  <c r="C13" i="24" s="1"/>
  <c r="D45" i="44" l="1"/>
  <c r="D47" i="44" s="1"/>
  <c r="D19" i="24"/>
  <c r="G45" i="44"/>
  <c r="G47" i="44" s="1"/>
  <c r="G19" i="24"/>
  <c r="K45" i="44"/>
  <c r="K19" i="24"/>
  <c r="O45" i="44"/>
  <c r="O47" i="44" s="1"/>
  <c r="O19" i="24"/>
  <c r="S45" i="44"/>
  <c r="S19" i="24"/>
  <c r="W45" i="44"/>
  <c r="W47" i="44" s="1"/>
  <c r="W19" i="24"/>
  <c r="AA45" i="44"/>
  <c r="AA47" i="44" s="1"/>
  <c r="AA19" i="24"/>
  <c r="AE45" i="44"/>
  <c r="AE47" i="44" s="1"/>
  <c r="AE19" i="24"/>
  <c r="AI45" i="44"/>
  <c r="AI19" i="24"/>
  <c r="AM45" i="44"/>
  <c r="AM47" i="44" s="1"/>
  <c r="AM19" i="24"/>
  <c r="E45" i="44"/>
  <c r="E47" i="44" s="1"/>
  <c r="E19" i="24"/>
  <c r="H45" i="44"/>
  <c r="H47" i="44" s="1"/>
  <c r="H19" i="24"/>
  <c r="L45" i="44"/>
  <c r="L19" i="24"/>
  <c r="P45" i="44"/>
  <c r="P19" i="24"/>
  <c r="T45" i="44"/>
  <c r="T19" i="24"/>
  <c r="X45" i="44"/>
  <c r="X47" i="44" s="1"/>
  <c r="X19" i="24"/>
  <c r="AB45" i="44"/>
  <c r="AB19" i="24"/>
  <c r="AF45" i="44"/>
  <c r="AF47" i="44" s="1"/>
  <c r="AF19" i="24"/>
  <c r="AJ45" i="44"/>
  <c r="AJ47" i="44" s="1"/>
  <c r="AJ19" i="24"/>
  <c r="AN45" i="44"/>
  <c r="AN47" i="44" s="1"/>
  <c r="AN19" i="24"/>
  <c r="C45" i="44"/>
  <c r="C47" i="44" s="1"/>
  <c r="C19" i="24"/>
  <c r="I45" i="44"/>
  <c r="I47" i="44" s="1"/>
  <c r="I19" i="24"/>
  <c r="M45" i="44"/>
  <c r="M47" i="44" s="1"/>
  <c r="M19" i="24"/>
  <c r="Q45" i="44"/>
  <c r="Q47" i="44" s="1"/>
  <c r="Q19" i="24"/>
  <c r="U45" i="44"/>
  <c r="U47" i="44" s="1"/>
  <c r="U19" i="24"/>
  <c r="Y45" i="44"/>
  <c r="Y47" i="44" s="1"/>
  <c r="Y19" i="24"/>
  <c r="AC45" i="44"/>
  <c r="AC47" i="44" s="1"/>
  <c r="AC19" i="24"/>
  <c r="AK45" i="44"/>
  <c r="AK47" i="44" s="1"/>
  <c r="AK19" i="24"/>
  <c r="AO45" i="44"/>
  <c r="AO47" i="44" s="1"/>
  <c r="AO19" i="24"/>
  <c r="F45" i="44"/>
  <c r="F19" i="24"/>
  <c r="J45" i="44"/>
  <c r="J47" i="44" s="1"/>
  <c r="J19" i="24"/>
  <c r="N45" i="44"/>
  <c r="N47" i="44" s="1"/>
  <c r="N19" i="24"/>
  <c r="R45" i="44"/>
  <c r="R19" i="24"/>
  <c r="V45" i="44"/>
  <c r="V47" i="44" s="1"/>
  <c r="V19" i="24"/>
  <c r="Z45" i="44"/>
  <c r="Z47" i="44" s="1"/>
  <c r="Z19" i="24"/>
  <c r="AD45" i="44"/>
  <c r="AD47" i="44" s="1"/>
  <c r="AD19" i="24"/>
  <c r="AH45" i="44"/>
  <c r="AH19" i="24"/>
  <c r="AL45" i="44"/>
  <c r="AL47" i="44" s="1"/>
  <c r="AL19" i="24"/>
  <c r="AG45" i="44"/>
  <c r="AG47" i="44" s="1"/>
  <c r="L47" i="44"/>
  <c r="P47" i="44"/>
  <c r="T47" i="44"/>
  <c r="AB47" i="44"/>
  <c r="F47" i="44"/>
  <c r="R47" i="44"/>
  <c r="AH47" i="44"/>
  <c r="K47" i="44"/>
  <c r="S47" i="44"/>
  <c r="AI47" i="44"/>
  <c r="AU59" i="41"/>
  <c r="V58" i="41" l="1"/>
  <c r="AP14" i="41"/>
  <c r="AO14" i="41"/>
  <c r="AN14" i="41"/>
  <c r="AM14" i="41"/>
  <c r="AL14" i="41"/>
  <c r="AK14" i="41"/>
  <c r="AJ14" i="41"/>
  <c r="AI14" i="41"/>
  <c r="AH14" i="41"/>
  <c r="AG14" i="41"/>
  <c r="AF14" i="41"/>
  <c r="AE14" i="41"/>
  <c r="AD14" i="41"/>
  <c r="AC14" i="41"/>
  <c r="AB14" i="41"/>
  <c r="AA14" i="41"/>
  <c r="Z14" i="41"/>
  <c r="Y14" i="41"/>
  <c r="X14" i="41"/>
  <c r="W14" i="41"/>
  <c r="V14" i="41"/>
  <c r="U14" i="41"/>
  <c r="T14" i="41"/>
  <c r="S14" i="41"/>
  <c r="R14" i="41"/>
  <c r="Q14" i="41"/>
  <c r="P14" i="41"/>
  <c r="O14" i="41"/>
  <c r="N14" i="41"/>
  <c r="M14" i="41"/>
  <c r="L14" i="41"/>
  <c r="K14" i="41"/>
  <c r="J14" i="41"/>
  <c r="I14" i="41"/>
  <c r="H14" i="41"/>
  <c r="G14" i="41"/>
  <c r="F14" i="41"/>
  <c r="E14" i="41"/>
  <c r="D14" i="41"/>
  <c r="C14" i="41"/>
  <c r="AT14" i="41"/>
  <c r="AS14" i="41"/>
  <c r="AR14" i="41"/>
  <c r="AQ14" i="41"/>
  <c r="AU14" i="41"/>
  <c r="AU58" i="41"/>
  <c r="AU54" i="41" l="1"/>
  <c r="AU53" i="41" s="1"/>
  <c r="AU21" i="24" s="1"/>
  <c r="S5" i="43" l="1"/>
  <c r="T5" i="43"/>
  <c r="U5" i="43"/>
  <c r="V5" i="43"/>
  <c r="W5" i="43"/>
  <c r="X5" i="43"/>
  <c r="Y5" i="43"/>
  <c r="Z5" i="43"/>
  <c r="AA5" i="43"/>
  <c r="AB5" i="43"/>
  <c r="AC5" i="43"/>
  <c r="AD5" i="43"/>
  <c r="AE5" i="43"/>
  <c r="AF5" i="43"/>
  <c r="AG5" i="43"/>
  <c r="AH5" i="43"/>
  <c r="AI5" i="43"/>
  <c r="AJ5" i="43"/>
  <c r="AK5" i="43"/>
  <c r="AL5" i="43"/>
  <c r="AM5" i="43"/>
  <c r="AN5" i="43"/>
  <c r="AO5" i="43"/>
  <c r="AP5" i="43"/>
  <c r="AU28" i="30" l="1"/>
  <c r="AU33" i="30" s="1"/>
  <c r="AO16" i="26" l="1"/>
  <c r="AN16" i="26"/>
  <c r="AO15" i="26"/>
  <c r="AO9" i="52" s="1"/>
  <c r="AL15" i="26"/>
  <c r="AL9" i="52" s="1"/>
  <c r="AO10" i="26"/>
  <c r="AN10" i="26"/>
  <c r="AM10" i="26"/>
  <c r="AL10" i="26"/>
  <c r="AK10" i="26"/>
  <c r="AJ10" i="26"/>
  <c r="AI10" i="26"/>
  <c r="AH10" i="26"/>
  <c r="AG10" i="26"/>
  <c r="AF10" i="26"/>
  <c r="AE10" i="26"/>
  <c r="AD10" i="26"/>
  <c r="AC10" i="26"/>
  <c r="AB10" i="26"/>
  <c r="AA10" i="26"/>
  <c r="Z10" i="26"/>
  <c r="Y10" i="26"/>
  <c r="X10" i="26"/>
  <c r="W10" i="26"/>
  <c r="V10" i="26"/>
  <c r="U10" i="26"/>
  <c r="T10" i="26"/>
  <c r="S10" i="26"/>
  <c r="R10" i="26"/>
  <c r="Q10" i="26"/>
  <c r="P10" i="26"/>
  <c r="O10" i="26"/>
  <c r="N10" i="26"/>
  <c r="M10" i="26"/>
  <c r="L10" i="26"/>
  <c r="K10" i="26"/>
  <c r="J10" i="26"/>
  <c r="I10" i="26"/>
  <c r="H10" i="26"/>
  <c r="G10" i="26"/>
  <c r="F10" i="26"/>
  <c r="E10" i="26"/>
  <c r="D10" i="26"/>
  <c r="C10" i="26"/>
  <c r="AO8" i="26"/>
  <c r="AL8" i="26"/>
  <c r="T8" i="26"/>
  <c r="T5" i="26" s="1"/>
  <c r="T14" i="26" s="1"/>
  <c r="T17" i="26" s="1"/>
  <c r="AO7" i="26"/>
  <c r="AN7" i="26"/>
  <c r="AL7" i="26"/>
  <c r="AO6" i="26"/>
  <c r="AN6" i="26"/>
  <c r="AL6" i="26"/>
  <c r="AP5" i="26"/>
  <c r="AP14" i="26" s="1"/>
  <c r="AP17" i="26" s="1"/>
  <c r="AM5" i="26"/>
  <c r="AK5" i="26"/>
  <c r="AK14" i="26" s="1"/>
  <c r="AK17" i="26" s="1"/>
  <c r="AJ5" i="26"/>
  <c r="AI5" i="26"/>
  <c r="AH5" i="26"/>
  <c r="AG5" i="26"/>
  <c r="AG14" i="26" s="1"/>
  <c r="AG17" i="26" s="1"/>
  <c r="AF5" i="26"/>
  <c r="AE5" i="26"/>
  <c r="AD5" i="26"/>
  <c r="AC5" i="26"/>
  <c r="AC14" i="26" s="1"/>
  <c r="AC17" i="26" s="1"/>
  <c r="AB5" i="26"/>
  <c r="AA5" i="26"/>
  <c r="Z5" i="26"/>
  <c r="Y5" i="26"/>
  <c r="Y14" i="26" s="1"/>
  <c r="Y17" i="26" s="1"/>
  <c r="X5" i="26"/>
  <c r="W5" i="26"/>
  <c r="V5" i="26"/>
  <c r="U5" i="26"/>
  <c r="U14" i="26" s="1"/>
  <c r="U17" i="26" s="1"/>
  <c r="S5" i="26"/>
  <c r="R5" i="26"/>
  <c r="Q5" i="26"/>
  <c r="P5" i="26"/>
  <c r="O5" i="26"/>
  <c r="N5" i="26"/>
  <c r="M5" i="26"/>
  <c r="L5" i="26"/>
  <c r="K5" i="26"/>
  <c r="J5" i="26"/>
  <c r="I5" i="26"/>
  <c r="H5" i="26"/>
  <c r="G5" i="26"/>
  <c r="F5" i="26"/>
  <c r="E5" i="26"/>
  <c r="D5" i="26"/>
  <c r="C5" i="26"/>
  <c r="AO16" i="42"/>
  <c r="AN16" i="42"/>
  <c r="AO15" i="42"/>
  <c r="AO10" i="52" s="1"/>
  <c r="AL15" i="42"/>
  <c r="AL10" i="52" s="1"/>
  <c r="AO13" i="42"/>
  <c r="AO10" i="42" s="1"/>
  <c r="AN10" i="42"/>
  <c r="AM10" i="42"/>
  <c r="AL10" i="42"/>
  <c r="AK10" i="42"/>
  <c r="AJ10" i="42"/>
  <c r="AI10" i="42"/>
  <c r="AH10" i="42"/>
  <c r="AG10" i="42"/>
  <c r="AF10" i="42"/>
  <c r="AE10" i="42"/>
  <c r="AD10" i="42"/>
  <c r="AC10" i="42"/>
  <c r="AB10" i="42"/>
  <c r="AA10" i="42"/>
  <c r="Z10" i="42"/>
  <c r="Y10" i="42"/>
  <c r="X10" i="42"/>
  <c r="W10" i="42"/>
  <c r="V10" i="42"/>
  <c r="U10" i="42"/>
  <c r="T10" i="42"/>
  <c r="S10" i="42"/>
  <c r="R10" i="42"/>
  <c r="Q10" i="42"/>
  <c r="P10" i="42"/>
  <c r="O10" i="42"/>
  <c r="N10" i="42"/>
  <c r="M10" i="42"/>
  <c r="L10" i="42"/>
  <c r="K10" i="42"/>
  <c r="J10" i="42"/>
  <c r="I10" i="42"/>
  <c r="H10" i="42"/>
  <c r="G10" i="42"/>
  <c r="F10" i="42"/>
  <c r="E10" i="42"/>
  <c r="D10" i="42"/>
  <c r="C10" i="42"/>
  <c r="AO8" i="42"/>
  <c r="AL8" i="42"/>
  <c r="T8" i="42"/>
  <c r="T5" i="42" s="1"/>
  <c r="T14" i="42" s="1"/>
  <c r="T17" i="42" s="1"/>
  <c r="AO7" i="42"/>
  <c r="AN7" i="42"/>
  <c r="AL7" i="42"/>
  <c r="AO6" i="42"/>
  <c r="AN6" i="42"/>
  <c r="AL6" i="42"/>
  <c r="AP5" i="42"/>
  <c r="AP14" i="42" s="1"/>
  <c r="AM5" i="42"/>
  <c r="AK5" i="42"/>
  <c r="AJ5" i="42"/>
  <c r="AJ14" i="42" s="1"/>
  <c r="AJ17" i="42" s="1"/>
  <c r="AI5" i="42"/>
  <c r="AH5" i="42"/>
  <c r="AG5" i="42"/>
  <c r="AF5" i="42"/>
  <c r="AE5" i="42"/>
  <c r="AD5" i="42"/>
  <c r="AC5" i="42"/>
  <c r="AB5" i="42"/>
  <c r="AB14" i="42" s="1"/>
  <c r="AB17" i="42" s="1"/>
  <c r="AA5" i="42"/>
  <c r="Z5" i="42"/>
  <c r="Y5" i="42"/>
  <c r="X5" i="42"/>
  <c r="W5" i="42"/>
  <c r="V5" i="42"/>
  <c r="U5" i="42"/>
  <c r="S5" i="42"/>
  <c r="S14" i="42" s="1"/>
  <c r="S17" i="42" s="1"/>
  <c r="R5" i="42"/>
  <c r="Q5" i="42"/>
  <c r="P5" i="42"/>
  <c r="O5" i="42"/>
  <c r="N5" i="42"/>
  <c r="M5" i="42"/>
  <c r="L5" i="42"/>
  <c r="L14" i="42" s="1"/>
  <c r="L17" i="42" s="1"/>
  <c r="K5" i="42"/>
  <c r="K14" i="42" s="1"/>
  <c r="K17" i="42" s="1"/>
  <c r="J5" i="42"/>
  <c r="I5" i="42"/>
  <c r="H5" i="42"/>
  <c r="G5" i="42"/>
  <c r="F5" i="42"/>
  <c r="E5" i="42"/>
  <c r="D5" i="42"/>
  <c r="D14" i="42" s="1"/>
  <c r="D17" i="42" s="1"/>
  <c r="C5" i="42"/>
  <c r="C14" i="42" s="1"/>
  <c r="C17" i="42" s="1"/>
  <c r="AT51" i="24"/>
  <c r="AT50" i="24"/>
  <c r="AT44" i="24"/>
  <c r="AT59" i="41"/>
  <c r="AT58" i="41" s="1"/>
  <c r="AT31" i="35"/>
  <c r="AT26" i="35"/>
  <c r="AT24" i="35" s="1"/>
  <c r="AT23" i="35" s="1"/>
  <c r="AT37" i="35"/>
  <c r="AT41" i="35" s="1"/>
  <c r="AT11" i="35" s="1"/>
  <c r="AT29" i="35"/>
  <c r="AT28" i="35" s="1"/>
  <c r="AT15" i="35"/>
  <c r="AT19" i="35" s="1"/>
  <c r="AT9" i="35" s="1"/>
  <c r="AT7" i="35"/>
  <c r="AT86" i="32"/>
  <c r="AT77" i="32"/>
  <c r="AT85" i="32" s="1"/>
  <c r="AT68" i="32"/>
  <c r="AT62" i="32"/>
  <c r="AT61" i="32" s="1"/>
  <c r="AT53" i="32"/>
  <c r="AT45" i="32"/>
  <c r="AT38" i="32"/>
  <c r="AT30" i="32"/>
  <c r="AT37" i="32" s="1"/>
  <c r="AT41" i="32" s="1"/>
  <c r="AT24" i="32" s="1"/>
  <c r="AT7" i="32"/>
  <c r="AT8" i="32"/>
  <c r="AT9" i="32"/>
  <c r="AT11" i="32"/>
  <c r="AT12" i="32"/>
  <c r="AT16" i="32"/>
  <c r="AT17" i="32"/>
  <c r="AT18" i="32"/>
  <c r="AT19" i="32"/>
  <c r="AT21" i="32"/>
  <c r="AT22" i="32"/>
  <c r="AT20" i="32"/>
  <c r="AT28" i="30"/>
  <c r="AT33" i="30" s="1"/>
  <c r="AT26" i="30"/>
  <c r="AT7" i="24"/>
  <c r="AS31" i="35"/>
  <c r="AS29" i="35" s="1"/>
  <c r="AS28" i="35" s="1"/>
  <c r="AS26" i="35"/>
  <c r="AS25" i="35"/>
  <c r="AS59" i="41"/>
  <c r="AS58" i="41" s="1"/>
  <c r="AS54" i="41"/>
  <c r="AS53" i="41" s="1"/>
  <c r="AS21" i="24" s="1"/>
  <c r="AS37" i="35"/>
  <c r="AS41" i="35" s="1"/>
  <c r="AS11" i="35" s="1"/>
  <c r="AS15" i="35"/>
  <c r="AS19" i="35" s="1"/>
  <c r="AS9" i="35" s="1"/>
  <c r="AS7" i="35"/>
  <c r="AS86" i="32"/>
  <c r="AS77" i="32"/>
  <c r="AS68" i="32"/>
  <c r="AS62" i="32"/>
  <c r="AS53" i="32"/>
  <c r="AS45" i="32"/>
  <c r="AS38" i="32"/>
  <c r="AS30" i="32"/>
  <c r="AS37" i="32" s="1"/>
  <c r="AS16" i="32"/>
  <c r="AS17" i="32"/>
  <c r="AS18" i="32"/>
  <c r="AS19" i="32"/>
  <c r="AS15" i="32" s="1"/>
  <c r="AS21" i="32"/>
  <c r="AS22" i="32"/>
  <c r="AS7" i="32"/>
  <c r="AS8" i="32"/>
  <c r="AS9" i="32"/>
  <c r="AS11" i="32"/>
  <c r="AS12" i="32"/>
  <c r="AS51" i="24"/>
  <c r="AR51" i="24"/>
  <c r="AR50" i="24"/>
  <c r="AR44" i="24"/>
  <c r="AS28" i="30"/>
  <c r="AS33" i="30" s="1"/>
  <c r="AS26" i="30"/>
  <c r="AS7" i="24"/>
  <c r="AR59" i="41"/>
  <c r="AR58" i="41" s="1"/>
  <c r="AR54" i="41"/>
  <c r="AR53" i="41" s="1"/>
  <c r="AR21" i="24" s="1"/>
  <c r="AR31" i="35"/>
  <c r="AR29" i="35" s="1"/>
  <c r="AR26" i="35"/>
  <c r="AR24" i="35" s="1"/>
  <c r="AR37" i="35"/>
  <c r="AR41" i="35" s="1"/>
  <c r="AR11" i="35" s="1"/>
  <c r="AR15" i="35"/>
  <c r="AR19" i="35" s="1"/>
  <c r="AR9" i="35" s="1"/>
  <c r="AR7" i="35"/>
  <c r="AR38" i="32"/>
  <c r="AR22" i="32"/>
  <c r="AR21" i="32"/>
  <c r="AR19" i="32"/>
  <c r="AR18" i="32"/>
  <c r="AR17" i="32"/>
  <c r="AR15" i="32" s="1"/>
  <c r="AR16" i="32"/>
  <c r="AR12" i="32"/>
  <c r="AR11" i="32"/>
  <c r="AR9" i="32"/>
  <c r="AR8" i="32"/>
  <c r="AR7" i="32"/>
  <c r="AR86" i="32"/>
  <c r="AR77" i="32"/>
  <c r="AR85" i="32" s="1"/>
  <c r="AR91" i="32" s="1"/>
  <c r="AR26" i="32" s="1"/>
  <c r="AR68" i="32"/>
  <c r="AR62" i="32"/>
  <c r="AR53" i="32"/>
  <c r="AR45" i="32"/>
  <c r="AR30" i="32"/>
  <c r="AQ51" i="24"/>
  <c r="AQ50" i="24"/>
  <c r="AQ44" i="24"/>
  <c r="AO11" i="25"/>
  <c r="AO10" i="25"/>
  <c r="AN11" i="25"/>
  <c r="AN10" i="25"/>
  <c r="AM11" i="25"/>
  <c r="AM10" i="25"/>
  <c r="AL11" i="25"/>
  <c r="AL10" i="25"/>
  <c r="AK11" i="25"/>
  <c r="AK10" i="25"/>
  <c r="AK12" i="25" s="1"/>
  <c r="AJ11" i="25"/>
  <c r="AJ10" i="25"/>
  <c r="AI11" i="25"/>
  <c r="AI10" i="25"/>
  <c r="AI12" i="25" s="1"/>
  <c r="AH11" i="25"/>
  <c r="AH10" i="25"/>
  <c r="AG11" i="25"/>
  <c r="AG10" i="25"/>
  <c r="AF11" i="25"/>
  <c r="AF10" i="25"/>
  <c r="AE11" i="25"/>
  <c r="AE10" i="25"/>
  <c r="AD11" i="25"/>
  <c r="AD10" i="25"/>
  <c r="AC11" i="25"/>
  <c r="AC10" i="25"/>
  <c r="AC12" i="25" s="1"/>
  <c r="AB11" i="25"/>
  <c r="AB10" i="25"/>
  <c r="AA11" i="25"/>
  <c r="AA10" i="25"/>
  <c r="AA12" i="25" s="1"/>
  <c r="Z11" i="25"/>
  <c r="Z10" i="25"/>
  <c r="Z12" i="25" s="1"/>
  <c r="Y11" i="25"/>
  <c r="Y10" i="25"/>
  <c r="X11" i="25"/>
  <c r="X10" i="25"/>
  <c r="W11" i="25"/>
  <c r="W10" i="25"/>
  <c r="W12" i="25" s="1"/>
  <c r="AR7" i="24"/>
  <c r="AQ7" i="24"/>
  <c r="AR28" i="30"/>
  <c r="AR33" i="30" s="1"/>
  <c r="AR26" i="30"/>
  <c r="AP50" i="24"/>
  <c r="AP51" i="24"/>
  <c r="AQ59" i="41"/>
  <c r="AQ58" i="41" s="1"/>
  <c r="AQ54" i="41"/>
  <c r="AQ53" i="41" s="1"/>
  <c r="AQ21" i="24" s="1"/>
  <c r="AQ31" i="35"/>
  <c r="AQ29" i="35" s="1"/>
  <c r="AQ26" i="35"/>
  <c r="AQ24" i="35" s="1"/>
  <c r="AQ23" i="35" s="1"/>
  <c r="AQ37" i="35"/>
  <c r="AQ41" i="35" s="1"/>
  <c r="AQ11" i="35" s="1"/>
  <c r="AQ15" i="35"/>
  <c r="AQ19" i="35" s="1"/>
  <c r="AQ9" i="35" s="1"/>
  <c r="AQ7" i="35"/>
  <c r="AQ62" i="32"/>
  <c r="AQ38" i="32"/>
  <c r="AQ30" i="32"/>
  <c r="AQ37" i="32" s="1"/>
  <c r="AQ21" i="32"/>
  <c r="AQ15" i="32"/>
  <c r="AQ10" i="32"/>
  <c r="AQ86" i="32"/>
  <c r="AQ77" i="32"/>
  <c r="AQ85" i="32" s="1"/>
  <c r="AQ91" i="32" s="1"/>
  <c r="AQ68" i="32"/>
  <c r="AQ53" i="32"/>
  <c r="AQ45" i="32"/>
  <c r="AQ5" i="32"/>
  <c r="AP8" i="24"/>
  <c r="AP7" i="24"/>
  <c r="AP44" i="24"/>
  <c r="Y17" i="29"/>
  <c r="W25" i="29"/>
  <c r="X25" i="29"/>
  <c r="Y25" i="29"/>
  <c r="Z25" i="29"/>
  <c r="X17" i="29"/>
  <c r="Z17" i="29"/>
  <c r="W17" i="29"/>
  <c r="AD25" i="29"/>
  <c r="AC25" i="29"/>
  <c r="AB25" i="29"/>
  <c r="AA25" i="29"/>
  <c r="AD17" i="29"/>
  <c r="AC17" i="29"/>
  <c r="AB17" i="29"/>
  <c r="AA17" i="29"/>
  <c r="AH25" i="29"/>
  <c r="AG25" i="29"/>
  <c r="AF25" i="29"/>
  <c r="AE25" i="29"/>
  <c r="AH17" i="29"/>
  <c r="AG17" i="29"/>
  <c r="AF17" i="29"/>
  <c r="AE17" i="29"/>
  <c r="AL25" i="29"/>
  <c r="AL17" i="29"/>
  <c r="AK25" i="29"/>
  <c r="AK17" i="29"/>
  <c r="AJ25" i="29"/>
  <c r="AJ17" i="29"/>
  <c r="AI25" i="29"/>
  <c r="AI22" i="29"/>
  <c r="AI17" i="29"/>
  <c r="AO25" i="29"/>
  <c r="AO22" i="29"/>
  <c r="AO17" i="29"/>
  <c r="AN25" i="29"/>
  <c r="AN22" i="29"/>
  <c r="AN17" i="29"/>
  <c r="AM25" i="29"/>
  <c r="AM22" i="29"/>
  <c r="AM23" i="29" s="1"/>
  <c r="AM27" i="29" s="1"/>
  <c r="AM17" i="29"/>
  <c r="AQ28" i="30"/>
  <c r="AQ33" i="30" s="1"/>
  <c r="AQ26" i="30"/>
  <c r="AO51" i="24"/>
  <c r="AN51" i="24"/>
  <c r="AM51" i="24"/>
  <c r="AL51" i="24"/>
  <c r="AK51" i="24"/>
  <c r="AJ51" i="24"/>
  <c r="AI51" i="24"/>
  <c r="AH51" i="24"/>
  <c r="AO7" i="24"/>
  <c r="AO8" i="24"/>
  <c r="AO50" i="24"/>
  <c r="AO16" i="24"/>
  <c r="AP31" i="35"/>
  <c r="AP29" i="35" s="1"/>
  <c r="AP26" i="35"/>
  <c r="AP18" i="41"/>
  <c r="AP54" i="41" s="1"/>
  <c r="AP53" i="41" s="1"/>
  <c r="AP21" i="24" s="1"/>
  <c r="AO59" i="41"/>
  <c r="AO58" i="41" s="1"/>
  <c r="AO18" i="41"/>
  <c r="AO29" i="41" s="1"/>
  <c r="AO37" i="35"/>
  <c r="AO29" i="35"/>
  <c r="AO28" i="35" s="1"/>
  <c r="AO24" i="35"/>
  <c r="AO15" i="35"/>
  <c r="AO19" i="35" s="1"/>
  <c r="AO9" i="35" s="1"/>
  <c r="AO7" i="35"/>
  <c r="AP21" i="32"/>
  <c r="AO86" i="32"/>
  <c r="AO77" i="32"/>
  <c r="AO85" i="32" s="1"/>
  <c r="AO68" i="32"/>
  <c r="AO62" i="32"/>
  <c r="AO53" i="32"/>
  <c r="AO45" i="32"/>
  <c r="AO38" i="32"/>
  <c r="AO30" i="32"/>
  <c r="AO37" i="32" s="1"/>
  <c r="AO22" i="32"/>
  <c r="AO21" i="32"/>
  <c r="AO15" i="32"/>
  <c r="AO10" i="32"/>
  <c r="AO5" i="32"/>
  <c r="AO41" i="24"/>
  <c r="AO42" i="24" s="1"/>
  <c r="AS44" i="24"/>
  <c r="AO44" i="24"/>
  <c r="AP28" i="30"/>
  <c r="AP33" i="30" s="1"/>
  <c r="AP26" i="30"/>
  <c r="AP23" i="29"/>
  <c r="AP27" i="29" s="1"/>
  <c r="AP27" i="28"/>
  <c r="AP21" i="51" s="1"/>
  <c r="AP19" i="51" s="1"/>
  <c r="AO28" i="30"/>
  <c r="AO33" i="30" s="1"/>
  <c r="AO26" i="30"/>
  <c r="AO27" i="28"/>
  <c r="AO21" i="51" s="1"/>
  <c r="AO19" i="51" s="1"/>
  <c r="AO23" i="51" s="1"/>
  <c r="AO9" i="25"/>
  <c r="AN50" i="24"/>
  <c r="AN59" i="41"/>
  <c r="AN58" i="41" s="1"/>
  <c r="AN18" i="41"/>
  <c r="AN29" i="41" s="1"/>
  <c r="AN54" i="41" s="1"/>
  <c r="AN53" i="41" s="1"/>
  <c r="AN21" i="24" s="1"/>
  <c r="AN37" i="35"/>
  <c r="AN41" i="35" s="1"/>
  <c r="AN11" i="35" s="1"/>
  <c r="AN29" i="35"/>
  <c r="AN24" i="35"/>
  <c r="AN23" i="35" s="1"/>
  <c r="AN15" i="35"/>
  <c r="AN19" i="35" s="1"/>
  <c r="AN9" i="35" s="1"/>
  <c r="AN7" i="35"/>
  <c r="AP62" i="32"/>
  <c r="AP5" i="32"/>
  <c r="AN86" i="32"/>
  <c r="AN77" i="32"/>
  <c r="AN85" i="32" s="1"/>
  <c r="AN68" i="32"/>
  <c r="AN62" i="32"/>
  <c r="AN54" i="32"/>
  <c r="AN53" i="32" s="1"/>
  <c r="AN46" i="32"/>
  <c r="AN45" i="32" s="1"/>
  <c r="AN38" i="32"/>
  <c r="AN30" i="32"/>
  <c r="AN37" i="32" s="1"/>
  <c r="AN22" i="32"/>
  <c r="AN21" i="32"/>
  <c r="AN19" i="32"/>
  <c r="AN18" i="32"/>
  <c r="AN17" i="32"/>
  <c r="AN16" i="32"/>
  <c r="AN12" i="32"/>
  <c r="AN11" i="32"/>
  <c r="AN10" i="32" s="1"/>
  <c r="AN9" i="32"/>
  <c r="AN8" i="32"/>
  <c r="AN7" i="32"/>
  <c r="AN41" i="24"/>
  <c r="AN42" i="24" s="1"/>
  <c r="C17" i="36"/>
  <c r="D17" i="36"/>
  <c r="E17" i="36"/>
  <c r="F17" i="36"/>
  <c r="G17" i="36"/>
  <c r="H17" i="36"/>
  <c r="I17" i="36"/>
  <c r="J17" i="36"/>
  <c r="K17" i="36"/>
  <c r="L17" i="36"/>
  <c r="M17" i="36"/>
  <c r="N17" i="36"/>
  <c r="O17" i="36"/>
  <c r="P17" i="36"/>
  <c r="Q17" i="36"/>
  <c r="R17" i="36"/>
  <c r="S17" i="36"/>
  <c r="T17" i="36"/>
  <c r="U17" i="36"/>
  <c r="V17" i="36"/>
  <c r="W17" i="36"/>
  <c r="X17" i="36"/>
  <c r="Y17" i="36"/>
  <c r="Z17" i="36"/>
  <c r="AA17" i="36"/>
  <c r="AB17" i="36"/>
  <c r="AC17" i="36"/>
  <c r="AA61" i="41"/>
  <c r="D56" i="41"/>
  <c r="D53" i="41" s="1"/>
  <c r="R56" i="41"/>
  <c r="R53" i="41" s="1"/>
  <c r="C18" i="41"/>
  <c r="C17" i="41" s="1"/>
  <c r="D18" i="41"/>
  <c r="D17" i="41" s="1"/>
  <c r="E18" i="41"/>
  <c r="E17" i="41" s="1"/>
  <c r="F18" i="41"/>
  <c r="F17" i="41" s="1"/>
  <c r="G18" i="41"/>
  <c r="G17" i="41" s="1"/>
  <c r="H18" i="41"/>
  <c r="I18" i="41"/>
  <c r="J18" i="41"/>
  <c r="J17" i="41" s="1"/>
  <c r="K18" i="41"/>
  <c r="K17" i="41" s="1"/>
  <c r="L18" i="41"/>
  <c r="L17" i="41" s="1"/>
  <c r="M18" i="41"/>
  <c r="M17" i="41" s="1"/>
  <c r="N18" i="41"/>
  <c r="N17" i="41" s="1"/>
  <c r="O18" i="41"/>
  <c r="O17" i="41" s="1"/>
  <c r="P18" i="41"/>
  <c r="P17" i="41" s="1"/>
  <c r="Q18" i="41"/>
  <c r="Q17" i="41" s="1"/>
  <c r="R18" i="41"/>
  <c r="R17" i="41" s="1"/>
  <c r="S18" i="41"/>
  <c r="S17" i="41" s="1"/>
  <c r="T18" i="41"/>
  <c r="T17" i="41" s="1"/>
  <c r="U18" i="41"/>
  <c r="U17" i="41" s="1"/>
  <c r="V18" i="41"/>
  <c r="V29" i="41" s="1"/>
  <c r="V54" i="41" s="1"/>
  <c r="W18" i="41"/>
  <c r="W29" i="41" s="1"/>
  <c r="X18" i="41"/>
  <c r="X29" i="41" s="1"/>
  <c r="X54" i="41" s="1"/>
  <c r="Y18" i="41"/>
  <c r="Z18" i="41"/>
  <c r="Z29" i="41" s="1"/>
  <c r="Z53" i="41" s="1"/>
  <c r="Z21" i="24" s="1"/>
  <c r="AA18" i="41"/>
  <c r="AA29" i="41" s="1"/>
  <c r="AB18" i="41"/>
  <c r="AB29" i="41" s="1"/>
  <c r="AB54" i="41" s="1"/>
  <c r="AB53" i="41" s="1"/>
  <c r="AB21" i="24" s="1"/>
  <c r="AC18" i="41"/>
  <c r="AC29" i="41" s="1"/>
  <c r="AD18" i="41"/>
  <c r="AD29" i="41" s="1"/>
  <c r="AD54" i="41" s="1"/>
  <c r="AD53" i="41" s="1"/>
  <c r="AD21" i="24" s="1"/>
  <c r="AE18" i="41"/>
  <c r="AE29" i="41" s="1"/>
  <c r="AE54" i="41" s="1"/>
  <c r="AE53" i="41" s="1"/>
  <c r="AE21" i="24" s="1"/>
  <c r="AF18" i="41"/>
  <c r="AF29" i="41" s="1"/>
  <c r="AG18" i="41"/>
  <c r="AG29" i="41" s="1"/>
  <c r="AH18" i="41"/>
  <c r="AH29" i="41" s="1"/>
  <c r="AI18" i="41"/>
  <c r="AI29" i="41" s="1"/>
  <c r="AI54" i="41" s="1"/>
  <c r="AI53" i="41" s="1"/>
  <c r="AI21" i="24" s="1"/>
  <c r="AJ18" i="41"/>
  <c r="AJ29" i="41" s="1"/>
  <c r="AK18" i="41"/>
  <c r="AL18" i="41"/>
  <c r="AL29" i="41" s="1"/>
  <c r="AL54" i="41" s="1"/>
  <c r="AL53" i="41" s="1"/>
  <c r="AL21" i="24" s="1"/>
  <c r="AM18" i="41"/>
  <c r="AM29" i="41" s="1"/>
  <c r="AM54" i="41" s="1"/>
  <c r="AM53" i="41" s="1"/>
  <c r="AM21" i="24" s="1"/>
  <c r="H17" i="41"/>
  <c r="I17" i="41"/>
  <c r="AC59" i="41"/>
  <c r="AC58" i="41" s="1"/>
  <c r="Z56" i="41"/>
  <c r="E61" i="41"/>
  <c r="E58" i="41" s="1"/>
  <c r="Y61" i="41"/>
  <c r="AE59" i="41"/>
  <c r="AE58" i="41" s="1"/>
  <c r="AG59" i="41"/>
  <c r="AG58" i="41" s="1"/>
  <c r="AH59" i="41"/>
  <c r="AH58" i="41" s="1"/>
  <c r="AI59" i="41"/>
  <c r="AI58" i="41" s="1"/>
  <c r="AK59" i="41"/>
  <c r="AK58" i="41" s="1"/>
  <c r="AL59" i="41"/>
  <c r="AL58" i="41" s="1"/>
  <c r="AM59" i="41"/>
  <c r="AM58" i="41" s="1"/>
  <c r="AP59" i="41"/>
  <c r="AP58" i="41" s="1"/>
  <c r="J61" i="41"/>
  <c r="J58" i="41" s="1"/>
  <c r="Z61" i="41"/>
  <c r="J56" i="41"/>
  <c r="J53" i="41" s="1"/>
  <c r="U56" i="41"/>
  <c r="U53" i="41" s="1"/>
  <c r="AF59" i="41"/>
  <c r="AF58" i="41" s="1"/>
  <c r="AJ59" i="41"/>
  <c r="AJ58" i="41" s="1"/>
  <c r="C61" i="41"/>
  <c r="C58" i="41" s="1"/>
  <c r="Q61" i="41"/>
  <c r="Q58" i="41" s="1"/>
  <c r="U61" i="41"/>
  <c r="U58" i="41" s="1"/>
  <c r="C7" i="35"/>
  <c r="D7" i="35"/>
  <c r="F7" i="35"/>
  <c r="G7" i="35"/>
  <c r="H7" i="35"/>
  <c r="I7" i="35"/>
  <c r="J7" i="35"/>
  <c r="K7" i="35"/>
  <c r="L7" i="35"/>
  <c r="M7" i="35"/>
  <c r="N7" i="35"/>
  <c r="O7" i="35"/>
  <c r="P7" i="35"/>
  <c r="Q7" i="35"/>
  <c r="R7" i="35"/>
  <c r="S7" i="35"/>
  <c r="T7" i="35"/>
  <c r="U7" i="35"/>
  <c r="V7" i="35"/>
  <c r="W7" i="35"/>
  <c r="X7" i="35"/>
  <c r="Y7" i="35"/>
  <c r="Z7" i="35"/>
  <c r="AA7" i="35"/>
  <c r="AB7" i="35"/>
  <c r="AC7" i="35"/>
  <c r="AD7" i="35"/>
  <c r="AE7" i="35"/>
  <c r="AF7" i="35"/>
  <c r="AG7" i="35"/>
  <c r="AH7" i="35"/>
  <c r="AI7" i="35"/>
  <c r="AJ7" i="35"/>
  <c r="AK7" i="35"/>
  <c r="AL7" i="35"/>
  <c r="AM7" i="35"/>
  <c r="AP7" i="35"/>
  <c r="F15" i="35"/>
  <c r="G15" i="35"/>
  <c r="H15" i="35"/>
  <c r="H19" i="35" s="1"/>
  <c r="H9" i="35" s="1"/>
  <c r="I15" i="35"/>
  <c r="J15" i="35"/>
  <c r="J19" i="35" s="1"/>
  <c r="K15" i="35"/>
  <c r="K19" i="35" s="1"/>
  <c r="K9" i="35" s="1"/>
  <c r="L15" i="35"/>
  <c r="M15" i="35"/>
  <c r="M19" i="35" s="1"/>
  <c r="M9" i="35" s="1"/>
  <c r="N15" i="35"/>
  <c r="O15" i="35"/>
  <c r="P15" i="35"/>
  <c r="Q15" i="35"/>
  <c r="R15" i="35"/>
  <c r="R19" i="35" s="1"/>
  <c r="R9" i="35" s="1"/>
  <c r="S15" i="35"/>
  <c r="S19" i="35" s="1"/>
  <c r="S9" i="35" s="1"/>
  <c r="T15" i="35"/>
  <c r="U15" i="35"/>
  <c r="V15" i="35"/>
  <c r="W15" i="35"/>
  <c r="X15" i="35"/>
  <c r="Y15" i="35"/>
  <c r="Z15" i="35"/>
  <c r="Z19" i="35" s="1"/>
  <c r="Z9" i="35" s="1"/>
  <c r="AA15" i="35"/>
  <c r="AB15" i="35"/>
  <c r="AB19" i="35" s="1"/>
  <c r="AB9" i="35" s="1"/>
  <c r="AC15" i="35"/>
  <c r="AD15" i="35"/>
  <c r="AD19" i="35"/>
  <c r="AD9" i="35" s="1"/>
  <c r="AE15" i="35"/>
  <c r="AF15" i="35"/>
  <c r="AG15" i="35"/>
  <c r="AH15" i="35"/>
  <c r="AH19" i="35" s="1"/>
  <c r="AH9" i="35" s="1"/>
  <c r="AI15" i="35"/>
  <c r="AI19" i="35" s="1"/>
  <c r="AI9" i="35" s="1"/>
  <c r="AJ15" i="35"/>
  <c r="AK15" i="35"/>
  <c r="AL15" i="35"/>
  <c r="AL19" i="35" s="1"/>
  <c r="AL9" i="35" s="1"/>
  <c r="AM15" i="35"/>
  <c r="AP15" i="35"/>
  <c r="AP19" i="35" s="1"/>
  <c r="AP9" i="35" s="1"/>
  <c r="C17" i="35"/>
  <c r="C15" i="35" s="1"/>
  <c r="D17" i="35"/>
  <c r="D15" i="35" s="1"/>
  <c r="D19" i="35" s="1"/>
  <c r="D9" i="35" s="1"/>
  <c r="E17" i="35"/>
  <c r="E15" i="35" s="1"/>
  <c r="E19" i="35" s="1"/>
  <c r="E9" i="35" s="1"/>
  <c r="E18" i="35"/>
  <c r="E7" i="35" s="1"/>
  <c r="F19" i="35"/>
  <c r="F9" i="35" s="1"/>
  <c r="J9" i="35"/>
  <c r="N19" i="35"/>
  <c r="N9" i="35" s="1"/>
  <c r="C24" i="35"/>
  <c r="C23" i="35" s="1"/>
  <c r="D24" i="35"/>
  <c r="D23" i="35" s="1"/>
  <c r="E24" i="35"/>
  <c r="E23" i="35" s="1"/>
  <c r="F24" i="35"/>
  <c r="F23" i="35" s="1"/>
  <c r="G24" i="35"/>
  <c r="G23" i="35" s="1"/>
  <c r="H24" i="35"/>
  <c r="H23" i="35" s="1"/>
  <c r="I24" i="35"/>
  <c r="I23" i="35" s="1"/>
  <c r="J24" i="35"/>
  <c r="J23" i="35" s="1"/>
  <c r="K24" i="35"/>
  <c r="K23" i="35" s="1"/>
  <c r="L24" i="35"/>
  <c r="L23" i="35" s="1"/>
  <c r="M24" i="35"/>
  <c r="M23" i="35" s="1"/>
  <c r="N24" i="35"/>
  <c r="N23" i="35" s="1"/>
  <c r="O24" i="35"/>
  <c r="O23" i="35" s="1"/>
  <c r="P24" i="35"/>
  <c r="P23" i="35" s="1"/>
  <c r="Q24" i="35"/>
  <c r="Q23" i="35" s="1"/>
  <c r="R24" i="35"/>
  <c r="R23" i="35" s="1"/>
  <c r="S24" i="35"/>
  <c r="S23" i="35" s="1"/>
  <c r="T24" i="35"/>
  <c r="T23" i="35" s="1"/>
  <c r="U24" i="35"/>
  <c r="U23" i="35" s="1"/>
  <c r="V24" i="35"/>
  <c r="V23" i="35" s="1"/>
  <c r="W24" i="35"/>
  <c r="X24" i="35"/>
  <c r="X23" i="35" s="1"/>
  <c r="Y24" i="35"/>
  <c r="Y23" i="35" s="1"/>
  <c r="Z24" i="35"/>
  <c r="Z23" i="35" s="1"/>
  <c r="AA24" i="35"/>
  <c r="AA23" i="35" s="1"/>
  <c r="AB24" i="35"/>
  <c r="AB23" i="35" s="1"/>
  <c r="AC24" i="35"/>
  <c r="AC23" i="35" s="1"/>
  <c r="AD24" i="35"/>
  <c r="AD23" i="35" s="1"/>
  <c r="AE24" i="35"/>
  <c r="AE23" i="35" s="1"/>
  <c r="AF24" i="35"/>
  <c r="AF23" i="35" s="1"/>
  <c r="AH24" i="35"/>
  <c r="AI24" i="35"/>
  <c r="AJ24" i="35"/>
  <c r="AK24" i="35"/>
  <c r="AK23" i="35" s="1"/>
  <c r="AL24" i="35"/>
  <c r="AL23" i="35" s="1"/>
  <c r="AM24" i="35"/>
  <c r="AM6" i="35" s="1"/>
  <c r="AM8" i="35" s="1"/>
  <c r="AP24" i="35"/>
  <c r="AP23" i="35" s="1"/>
  <c r="AG26" i="35"/>
  <c r="AG24" i="35" s="1"/>
  <c r="C29" i="35"/>
  <c r="C28" i="35" s="1"/>
  <c r="D29" i="35"/>
  <c r="E29" i="35"/>
  <c r="E28" i="35" s="1"/>
  <c r="E33" i="35" s="1"/>
  <c r="E10" i="35" s="1"/>
  <c r="F29" i="35"/>
  <c r="F28" i="35" s="1"/>
  <c r="G29" i="35"/>
  <c r="G28" i="35" s="1"/>
  <c r="H29" i="35"/>
  <c r="H6" i="35" s="1"/>
  <c r="H8" i="35" s="1"/>
  <c r="I29" i="35"/>
  <c r="I28" i="35" s="1"/>
  <c r="J29" i="35"/>
  <c r="J28" i="35" s="1"/>
  <c r="J33" i="35" s="1"/>
  <c r="J10" i="35" s="1"/>
  <c r="K29" i="35"/>
  <c r="K28" i="35" s="1"/>
  <c r="L29" i="35"/>
  <c r="L28" i="35" s="1"/>
  <c r="M29" i="35"/>
  <c r="N29" i="35"/>
  <c r="N28" i="35" s="1"/>
  <c r="O29" i="35"/>
  <c r="O28" i="35" s="1"/>
  <c r="P29" i="35"/>
  <c r="P28" i="35" s="1"/>
  <c r="P33" i="35" s="1"/>
  <c r="P10" i="35" s="1"/>
  <c r="Q29" i="35"/>
  <c r="R29" i="35"/>
  <c r="S29" i="35"/>
  <c r="S28" i="35" s="1"/>
  <c r="T29" i="35"/>
  <c r="T28" i="35" s="1"/>
  <c r="U29" i="35"/>
  <c r="U28" i="35" s="1"/>
  <c r="U33" i="35" s="1"/>
  <c r="U10" i="35" s="1"/>
  <c r="V29" i="35"/>
  <c r="V28" i="35" s="1"/>
  <c r="W29" i="35"/>
  <c r="W28" i="35" s="1"/>
  <c r="X29" i="35"/>
  <c r="Y29" i="35"/>
  <c r="Y28" i="35" s="1"/>
  <c r="Y33" i="35" s="1"/>
  <c r="Y10" i="35" s="1"/>
  <c r="Z29" i="35"/>
  <c r="Z28" i="35" s="1"/>
  <c r="Z33" i="35" s="1"/>
  <c r="Z10" i="35" s="1"/>
  <c r="AA29" i="35"/>
  <c r="AA28" i="35" s="1"/>
  <c r="AB29" i="35"/>
  <c r="AC29" i="35"/>
  <c r="AD29" i="35"/>
  <c r="AD28" i="35" s="1"/>
  <c r="AE29" i="35"/>
  <c r="AF29" i="35"/>
  <c r="AF28" i="35" s="1"/>
  <c r="AG29" i="35"/>
  <c r="AG28" i="35" s="1"/>
  <c r="AH29" i="35"/>
  <c r="AH28" i="35" s="1"/>
  <c r="AI29" i="35"/>
  <c r="AI28" i="35" s="1"/>
  <c r="AJ29" i="35"/>
  <c r="AJ28" i="35" s="1"/>
  <c r="AK29" i="35"/>
  <c r="AK28" i="35" s="1"/>
  <c r="AL29" i="35"/>
  <c r="AL28" i="35" s="1"/>
  <c r="AL33" i="35" s="1"/>
  <c r="AL10" i="35" s="1"/>
  <c r="AM29" i="35"/>
  <c r="AM28" i="35" s="1"/>
  <c r="AP28" i="35"/>
  <c r="F37" i="35"/>
  <c r="F41" i="35" s="1"/>
  <c r="F11" i="35" s="1"/>
  <c r="G37" i="35"/>
  <c r="G41" i="35" s="1"/>
  <c r="G11" i="35" s="1"/>
  <c r="H37" i="35"/>
  <c r="H41" i="35" s="1"/>
  <c r="H11" i="35" s="1"/>
  <c r="I37" i="35"/>
  <c r="I41" i="35" s="1"/>
  <c r="I11" i="35" s="1"/>
  <c r="J37" i="35"/>
  <c r="J41" i="35" s="1"/>
  <c r="J11" i="35" s="1"/>
  <c r="K37" i="35"/>
  <c r="K41" i="35" s="1"/>
  <c r="K11" i="35" s="1"/>
  <c r="L37" i="35"/>
  <c r="L41" i="35" s="1"/>
  <c r="L11" i="35" s="1"/>
  <c r="M37" i="35"/>
  <c r="M41" i="35" s="1"/>
  <c r="M11" i="35" s="1"/>
  <c r="N37" i="35"/>
  <c r="N41" i="35" s="1"/>
  <c r="N11" i="35" s="1"/>
  <c r="O37" i="35"/>
  <c r="O41" i="35" s="1"/>
  <c r="O11" i="35" s="1"/>
  <c r="P37" i="35"/>
  <c r="P41" i="35" s="1"/>
  <c r="P11" i="35" s="1"/>
  <c r="Q37" i="35"/>
  <c r="Q41" i="35" s="1"/>
  <c r="Q11" i="35" s="1"/>
  <c r="R37" i="35"/>
  <c r="R41" i="35" s="1"/>
  <c r="R11" i="35" s="1"/>
  <c r="S37" i="35"/>
  <c r="S41" i="35" s="1"/>
  <c r="S11" i="35" s="1"/>
  <c r="T37" i="35"/>
  <c r="T41" i="35" s="1"/>
  <c r="T11" i="35" s="1"/>
  <c r="U37" i="35"/>
  <c r="U41" i="35" s="1"/>
  <c r="U11" i="35" s="1"/>
  <c r="V37" i="35"/>
  <c r="V41" i="35" s="1"/>
  <c r="V11" i="35" s="1"/>
  <c r="W37" i="35"/>
  <c r="X37" i="35"/>
  <c r="X41" i="35" s="1"/>
  <c r="X11" i="35" s="1"/>
  <c r="Y37" i="35"/>
  <c r="Y41" i="35" s="1"/>
  <c r="Y11" i="35" s="1"/>
  <c r="Z37" i="35"/>
  <c r="Z41" i="35" s="1"/>
  <c r="Z11" i="35" s="1"/>
  <c r="AA37" i="35"/>
  <c r="AA41" i="35" s="1"/>
  <c r="AA11" i="35" s="1"/>
  <c r="AB37" i="35"/>
  <c r="AC37" i="35"/>
  <c r="AC41" i="35" s="1"/>
  <c r="AC11" i="35" s="1"/>
  <c r="AD37" i="35"/>
  <c r="AD41" i="35" s="1"/>
  <c r="AD11" i="35" s="1"/>
  <c r="AE37" i="35"/>
  <c r="AE41" i="35" s="1"/>
  <c r="AE11" i="35" s="1"/>
  <c r="AF37" i="35"/>
  <c r="AF41" i="35" s="1"/>
  <c r="AF11" i="35" s="1"/>
  <c r="AG37" i="35"/>
  <c r="AG41" i="35" s="1"/>
  <c r="AG11" i="35" s="1"/>
  <c r="AH37" i="35"/>
  <c r="AH41" i="35" s="1"/>
  <c r="AH11" i="35" s="1"/>
  <c r="AI37" i="35"/>
  <c r="AI41" i="35" s="1"/>
  <c r="AI11" i="35" s="1"/>
  <c r="AJ37" i="35"/>
  <c r="AJ41" i="35" s="1"/>
  <c r="AJ11" i="35" s="1"/>
  <c r="AK37" i="35"/>
  <c r="AK41" i="35" s="1"/>
  <c r="AK11" i="35" s="1"/>
  <c r="AL37" i="35"/>
  <c r="AL41" i="35" s="1"/>
  <c r="AL11" i="35" s="1"/>
  <c r="AM37" i="35"/>
  <c r="AM41" i="35" s="1"/>
  <c r="AM11" i="35" s="1"/>
  <c r="AP37" i="35"/>
  <c r="AP41" i="35" s="1"/>
  <c r="AP11" i="35" s="1"/>
  <c r="C39" i="35"/>
  <c r="C37" i="35" s="1"/>
  <c r="C41" i="35" s="1"/>
  <c r="C11" i="35" s="1"/>
  <c r="D39" i="35"/>
  <c r="D37" i="35" s="1"/>
  <c r="D41" i="35" s="1"/>
  <c r="D11" i="35" s="1"/>
  <c r="E39" i="35"/>
  <c r="E37" i="35" s="1"/>
  <c r="E41" i="35" s="1"/>
  <c r="E11" i="35" s="1"/>
  <c r="W41" i="35"/>
  <c r="W11" i="35" s="1"/>
  <c r="C7" i="32"/>
  <c r="D7" i="32"/>
  <c r="E7" i="32"/>
  <c r="F7" i="32"/>
  <c r="G7" i="32"/>
  <c r="H7" i="32"/>
  <c r="I7" i="32"/>
  <c r="J7" i="32"/>
  <c r="K7" i="32"/>
  <c r="L7" i="32"/>
  <c r="M7" i="32"/>
  <c r="N7" i="32"/>
  <c r="O7" i="32"/>
  <c r="P7" i="32"/>
  <c r="Q7" i="32"/>
  <c r="R7" i="32"/>
  <c r="S7" i="32"/>
  <c r="T7" i="32"/>
  <c r="U7" i="32"/>
  <c r="V7" i="32"/>
  <c r="W7" i="32"/>
  <c r="X7" i="32"/>
  <c r="Y7" i="32"/>
  <c r="Z7" i="32"/>
  <c r="AA7" i="32"/>
  <c r="AA16" i="24" s="1"/>
  <c r="AB7" i="32"/>
  <c r="AC7" i="32"/>
  <c r="AD7" i="32"/>
  <c r="AE7" i="32"/>
  <c r="AF7" i="32"/>
  <c r="AG7" i="32"/>
  <c r="AH7" i="32"/>
  <c r="AI7" i="32"/>
  <c r="AI16" i="24" s="1"/>
  <c r="AJ7" i="32"/>
  <c r="AK7" i="32"/>
  <c r="AL7" i="32"/>
  <c r="AM7" i="32"/>
  <c r="G8" i="32"/>
  <c r="H8" i="32"/>
  <c r="I8" i="32"/>
  <c r="J8" i="32"/>
  <c r="K8" i="32"/>
  <c r="L8" i="32"/>
  <c r="M8" i="32"/>
  <c r="N8" i="32"/>
  <c r="O8" i="32"/>
  <c r="P8" i="32"/>
  <c r="Q8" i="32"/>
  <c r="R8" i="32"/>
  <c r="S8" i="32"/>
  <c r="T8" i="32"/>
  <c r="U8" i="32"/>
  <c r="V8" i="32"/>
  <c r="W8" i="32"/>
  <c r="X8" i="32"/>
  <c r="Y8" i="32"/>
  <c r="Z8" i="32"/>
  <c r="AA8" i="32"/>
  <c r="AB8" i="32"/>
  <c r="AC8" i="32"/>
  <c r="AD8" i="32"/>
  <c r="AE8" i="32"/>
  <c r="AF8" i="32"/>
  <c r="AG8" i="32"/>
  <c r="AH8" i="32"/>
  <c r="AI8" i="32"/>
  <c r="AJ8" i="32"/>
  <c r="AK8" i="32"/>
  <c r="AL8" i="32"/>
  <c r="AM8" i="32"/>
  <c r="C9" i="32"/>
  <c r="E9" i="32"/>
  <c r="F9" i="32"/>
  <c r="G9" i="32"/>
  <c r="H9" i="32"/>
  <c r="I9" i="32"/>
  <c r="J9" i="32"/>
  <c r="K9" i="32"/>
  <c r="L9" i="32"/>
  <c r="M9" i="32"/>
  <c r="N9" i="32"/>
  <c r="O9" i="32"/>
  <c r="P9" i="32"/>
  <c r="Q9" i="32"/>
  <c r="R9" i="32"/>
  <c r="S9" i="32"/>
  <c r="T9" i="32"/>
  <c r="U9" i="32"/>
  <c r="V9" i="32"/>
  <c r="W9" i="32"/>
  <c r="X9" i="32"/>
  <c r="Y9" i="32"/>
  <c r="Z9" i="32"/>
  <c r="AA9" i="32"/>
  <c r="AB9" i="32"/>
  <c r="AC9" i="32"/>
  <c r="AD9" i="32"/>
  <c r="AE9" i="32"/>
  <c r="AF9" i="32"/>
  <c r="AG9" i="32"/>
  <c r="AH9" i="32"/>
  <c r="AI9" i="32"/>
  <c r="AJ9" i="32"/>
  <c r="AK9" i="32"/>
  <c r="AL9" i="32"/>
  <c r="AM9" i="32"/>
  <c r="AP10" i="32"/>
  <c r="C11" i="32"/>
  <c r="D11" i="32"/>
  <c r="E11" i="32"/>
  <c r="F11" i="32"/>
  <c r="G11" i="32"/>
  <c r="H11" i="32"/>
  <c r="H10" i="32" s="1"/>
  <c r="I11" i="32"/>
  <c r="J11" i="32"/>
  <c r="K11" i="32"/>
  <c r="L11" i="32"/>
  <c r="M11" i="32"/>
  <c r="N11" i="32"/>
  <c r="O11" i="32"/>
  <c r="P11" i="32"/>
  <c r="P10" i="32" s="1"/>
  <c r="Q11" i="32"/>
  <c r="R11" i="32"/>
  <c r="S11" i="32"/>
  <c r="T11" i="32"/>
  <c r="U11" i="32"/>
  <c r="V11" i="32"/>
  <c r="W11" i="32"/>
  <c r="X11" i="32"/>
  <c r="X10" i="32" s="1"/>
  <c r="Y11" i="32"/>
  <c r="Z11" i="32"/>
  <c r="AA11" i="32"/>
  <c r="AB11" i="32"/>
  <c r="AC11" i="32"/>
  <c r="AD11" i="32"/>
  <c r="AE11" i="32"/>
  <c r="AF11" i="32"/>
  <c r="AF10" i="32" s="1"/>
  <c r="AG11" i="32"/>
  <c r="AH11" i="32"/>
  <c r="AI11" i="32"/>
  <c r="AJ11" i="32"/>
  <c r="AK11" i="32"/>
  <c r="AL11" i="32"/>
  <c r="AM11" i="32"/>
  <c r="C12" i="32"/>
  <c r="F12" i="32"/>
  <c r="G12" i="32"/>
  <c r="H12" i="32"/>
  <c r="I12" i="32"/>
  <c r="J12" i="32"/>
  <c r="J10" i="32" s="1"/>
  <c r="K12" i="32"/>
  <c r="L12" i="32"/>
  <c r="M12" i="32"/>
  <c r="N12" i="32"/>
  <c r="O12" i="32"/>
  <c r="P12" i="32"/>
  <c r="Q12" i="32"/>
  <c r="Q10" i="32" s="1"/>
  <c r="R12" i="32"/>
  <c r="S12" i="32"/>
  <c r="T12" i="32"/>
  <c r="U12" i="32"/>
  <c r="U10" i="32" s="1"/>
  <c r="V12" i="32"/>
  <c r="W12" i="32"/>
  <c r="X12" i="32"/>
  <c r="Y12" i="32"/>
  <c r="Y10" i="32" s="1"/>
  <c r="Z12" i="32"/>
  <c r="AA12" i="32"/>
  <c r="AB12" i="32"/>
  <c r="AC12" i="32"/>
  <c r="AD12" i="32"/>
  <c r="AE12" i="32"/>
  <c r="AF12" i="32"/>
  <c r="AG12" i="32"/>
  <c r="AG10" i="32" s="1"/>
  <c r="AH12" i="32"/>
  <c r="AI12" i="32"/>
  <c r="AJ12" i="32"/>
  <c r="AK12" i="32"/>
  <c r="AK10" i="32" s="1"/>
  <c r="AL12" i="32"/>
  <c r="AM12" i="32"/>
  <c r="AP15" i="32"/>
  <c r="C16" i="32"/>
  <c r="D16" i="32"/>
  <c r="E16" i="32"/>
  <c r="F16" i="32"/>
  <c r="G16" i="32"/>
  <c r="H16" i="32"/>
  <c r="I16" i="32"/>
  <c r="J16" i="32"/>
  <c r="K16" i="32"/>
  <c r="L16" i="32"/>
  <c r="M16" i="32"/>
  <c r="N16" i="32"/>
  <c r="O16" i="32"/>
  <c r="P16" i="32"/>
  <c r="Q16" i="32"/>
  <c r="R16" i="32"/>
  <c r="S16" i="32"/>
  <c r="T16" i="32"/>
  <c r="U16" i="32"/>
  <c r="V16" i="32"/>
  <c r="W16" i="32"/>
  <c r="W15" i="32" s="1"/>
  <c r="W14" i="32" s="1"/>
  <c r="X16" i="32"/>
  <c r="Y16" i="32"/>
  <c r="Z16" i="32"/>
  <c r="AA16" i="32"/>
  <c r="AB16" i="32"/>
  <c r="AC16" i="32"/>
  <c r="AD16" i="32"/>
  <c r="AE16" i="32"/>
  <c r="AF16" i="32"/>
  <c r="AG16" i="32"/>
  <c r="AH16" i="32"/>
  <c r="AI16" i="32"/>
  <c r="AJ16" i="32"/>
  <c r="AK16" i="32"/>
  <c r="AL16" i="32"/>
  <c r="AM16" i="32"/>
  <c r="C17" i="32"/>
  <c r="D17" i="32"/>
  <c r="E17" i="32"/>
  <c r="F17" i="32"/>
  <c r="G17" i="32"/>
  <c r="H17" i="32"/>
  <c r="I17" i="32"/>
  <c r="J17" i="32"/>
  <c r="K17" i="32"/>
  <c r="L17" i="32"/>
  <c r="M17" i="32"/>
  <c r="N17" i="32"/>
  <c r="O17" i="32"/>
  <c r="P17" i="32"/>
  <c r="Q17" i="32"/>
  <c r="R17" i="32"/>
  <c r="S17" i="32"/>
  <c r="T17" i="32"/>
  <c r="U17" i="32"/>
  <c r="V17" i="32"/>
  <c r="W17" i="32"/>
  <c r="X17" i="32"/>
  <c r="Y17" i="32"/>
  <c r="Y16" i="24" s="1"/>
  <c r="Z17" i="32"/>
  <c r="AA17" i="32"/>
  <c r="AB17" i="32"/>
  <c r="AB16" i="24" s="1"/>
  <c r="AD17" i="32"/>
  <c r="AE17" i="32"/>
  <c r="AF17" i="32"/>
  <c r="AG17" i="32"/>
  <c r="AG16" i="24" s="1"/>
  <c r="AH17" i="32"/>
  <c r="AI17" i="32"/>
  <c r="AJ17" i="32"/>
  <c r="AK17" i="32"/>
  <c r="AK16" i="24" s="1"/>
  <c r="AL17" i="32"/>
  <c r="AM17" i="32"/>
  <c r="AM16" i="24" s="1"/>
  <c r="C18" i="32"/>
  <c r="D18" i="32"/>
  <c r="E18" i="32"/>
  <c r="F18" i="32"/>
  <c r="G18" i="32"/>
  <c r="H18" i="32"/>
  <c r="I18" i="32"/>
  <c r="J18" i="32"/>
  <c r="K18" i="32"/>
  <c r="L18" i="32"/>
  <c r="M18" i="32"/>
  <c r="N18" i="32"/>
  <c r="N15" i="32" s="1"/>
  <c r="N14" i="32" s="1"/>
  <c r="O18" i="32"/>
  <c r="P18" i="32"/>
  <c r="Q18" i="32"/>
  <c r="R18" i="32"/>
  <c r="S18" i="32"/>
  <c r="T18" i="32"/>
  <c r="U18" i="32"/>
  <c r="V18" i="32"/>
  <c r="V15" i="32" s="1"/>
  <c r="V14" i="32" s="1"/>
  <c r="W18" i="32"/>
  <c r="X18" i="32"/>
  <c r="Y18" i="32"/>
  <c r="Z18" i="32"/>
  <c r="AA18" i="32"/>
  <c r="AB18" i="32"/>
  <c r="AC18" i="32"/>
  <c r="AD18" i="32"/>
  <c r="AE18" i="32"/>
  <c r="AF18" i="32"/>
  <c r="AG18" i="32"/>
  <c r="AH18" i="32"/>
  <c r="AI18" i="32"/>
  <c r="AJ18" i="32"/>
  <c r="AK18" i="32"/>
  <c r="AL18" i="32"/>
  <c r="AL15" i="32" s="1"/>
  <c r="AM18" i="32"/>
  <c r="C19" i="32"/>
  <c r="D19" i="32"/>
  <c r="E19" i="32"/>
  <c r="F19" i="32"/>
  <c r="G19" i="32"/>
  <c r="H19" i="32"/>
  <c r="I19" i="32"/>
  <c r="I15" i="32" s="1"/>
  <c r="J19" i="32"/>
  <c r="K19" i="32"/>
  <c r="L19" i="32"/>
  <c r="M19" i="32"/>
  <c r="M15" i="32" s="1"/>
  <c r="N19" i="32"/>
  <c r="O19" i="32"/>
  <c r="P19" i="32"/>
  <c r="Q19" i="32"/>
  <c r="Q15" i="32" s="1"/>
  <c r="R19" i="32"/>
  <c r="S19" i="32"/>
  <c r="T19" i="32"/>
  <c r="U19" i="32"/>
  <c r="V19" i="32"/>
  <c r="W19" i="32"/>
  <c r="X19" i="32"/>
  <c r="Y19" i="32"/>
  <c r="Z19" i="32"/>
  <c r="AA19" i="32"/>
  <c r="AB19" i="32"/>
  <c r="AC19" i="32"/>
  <c r="AD19" i="32"/>
  <c r="AE19" i="32"/>
  <c r="AF19" i="32"/>
  <c r="AG19" i="32"/>
  <c r="AH19" i="32"/>
  <c r="AI19" i="32"/>
  <c r="AJ19" i="32"/>
  <c r="AK19" i="32"/>
  <c r="AL19" i="32"/>
  <c r="AM19" i="32"/>
  <c r="C21" i="32"/>
  <c r="D21" i="32"/>
  <c r="E21" i="32"/>
  <c r="F21" i="32"/>
  <c r="G21" i="32"/>
  <c r="H21" i="32"/>
  <c r="I21" i="32"/>
  <c r="J21" i="32"/>
  <c r="K21" i="32"/>
  <c r="L21" i="32"/>
  <c r="M21" i="32"/>
  <c r="N21" i="32"/>
  <c r="O21" i="32"/>
  <c r="P21" i="32"/>
  <c r="P20" i="32" s="1"/>
  <c r="Q21" i="32"/>
  <c r="R21" i="32"/>
  <c r="S21" i="32"/>
  <c r="T21" i="32"/>
  <c r="T20" i="32" s="1"/>
  <c r="U21" i="32"/>
  <c r="V21" i="32"/>
  <c r="W21" i="32"/>
  <c r="X21" i="32"/>
  <c r="Y21" i="32"/>
  <c r="Z21" i="32"/>
  <c r="AA21" i="32"/>
  <c r="AB21" i="32"/>
  <c r="AC21" i="32"/>
  <c r="AD21" i="32"/>
  <c r="AE21" i="32"/>
  <c r="AF21" i="32"/>
  <c r="AG21" i="32"/>
  <c r="AH21" i="32"/>
  <c r="AI21" i="32"/>
  <c r="AJ21" i="32"/>
  <c r="AK21" i="32"/>
  <c r="AL21" i="32"/>
  <c r="AM21" i="32"/>
  <c r="C22" i="32"/>
  <c r="D22" i="32"/>
  <c r="E22" i="32"/>
  <c r="F22" i="32"/>
  <c r="F20" i="32" s="1"/>
  <c r="G22" i="32"/>
  <c r="H22" i="32"/>
  <c r="I22" i="32"/>
  <c r="J22" i="32"/>
  <c r="K22" i="32"/>
  <c r="L22" i="32"/>
  <c r="M22" i="32"/>
  <c r="M20" i="32" s="1"/>
  <c r="N22" i="32"/>
  <c r="N20" i="32" s="1"/>
  <c r="O22" i="32"/>
  <c r="P22" i="32"/>
  <c r="Q22" i="32"/>
  <c r="R22" i="32"/>
  <c r="S22" i="32"/>
  <c r="T22" i="32"/>
  <c r="U22" i="32"/>
  <c r="V22" i="32"/>
  <c r="V20" i="32" s="1"/>
  <c r="W22" i="32"/>
  <c r="W20" i="32" s="1"/>
  <c r="X22" i="32"/>
  <c r="Y22" i="32"/>
  <c r="Z22" i="32"/>
  <c r="AA22" i="32"/>
  <c r="AB22" i="32"/>
  <c r="AC22" i="32"/>
  <c r="AD22" i="32"/>
  <c r="AD20" i="32" s="1"/>
  <c r="AE22" i="32"/>
  <c r="AF22" i="32"/>
  <c r="AG22" i="32"/>
  <c r="AH22" i="32"/>
  <c r="AI22" i="32"/>
  <c r="AJ22" i="32"/>
  <c r="AK22" i="32"/>
  <c r="AK20" i="32" s="1"/>
  <c r="AL22" i="32"/>
  <c r="AL20" i="32" s="1"/>
  <c r="AM22" i="32"/>
  <c r="AP22" i="32"/>
  <c r="F30" i="32"/>
  <c r="G30" i="32"/>
  <c r="G37" i="32"/>
  <c r="H30" i="32"/>
  <c r="I30" i="32"/>
  <c r="I37" i="32" s="1"/>
  <c r="J30" i="32"/>
  <c r="J37" i="32" s="1"/>
  <c r="K30" i="32"/>
  <c r="K37" i="32" s="1"/>
  <c r="L30" i="32"/>
  <c r="L37" i="32" s="1"/>
  <c r="M30" i="32"/>
  <c r="M37" i="32" s="1"/>
  <c r="N30" i="32"/>
  <c r="O30" i="32"/>
  <c r="O37" i="32" s="1"/>
  <c r="P30" i="32"/>
  <c r="P37" i="32" s="1"/>
  <c r="Q30" i="32"/>
  <c r="Q37" i="32" s="1"/>
  <c r="R30" i="32"/>
  <c r="S30" i="32"/>
  <c r="S37" i="32" s="1"/>
  <c r="T30" i="32"/>
  <c r="T37" i="32" s="1"/>
  <c r="U30" i="32"/>
  <c r="U37" i="32" s="1"/>
  <c r="V30" i="32"/>
  <c r="W30" i="32"/>
  <c r="X30" i="32"/>
  <c r="X37" i="32" s="1"/>
  <c r="Y30" i="32"/>
  <c r="Y37" i="32" s="1"/>
  <c r="Z30" i="32"/>
  <c r="Z37" i="32" s="1"/>
  <c r="AA30" i="32"/>
  <c r="AA37" i="32" s="1"/>
  <c r="AB30" i="32"/>
  <c r="AB37" i="32" s="1"/>
  <c r="AC30" i="32"/>
  <c r="AD30" i="32"/>
  <c r="AD37" i="32" s="1"/>
  <c r="AE30" i="32"/>
  <c r="AE37" i="32" s="1"/>
  <c r="AF30" i="32"/>
  <c r="AF37" i="32" s="1"/>
  <c r="AG30" i="32"/>
  <c r="AG37" i="32" s="1"/>
  <c r="AH30" i="32"/>
  <c r="AI30" i="32"/>
  <c r="AI37" i="32" s="1"/>
  <c r="AJ30" i="32"/>
  <c r="AJ37" i="32" s="1"/>
  <c r="AK30" i="32"/>
  <c r="AK37" i="32" s="1"/>
  <c r="AL30" i="32"/>
  <c r="AM30" i="32"/>
  <c r="AP30" i="32"/>
  <c r="AP37" i="32" s="1"/>
  <c r="C32" i="32"/>
  <c r="C30" i="32" s="1"/>
  <c r="D32" i="32"/>
  <c r="D30" i="32" s="1"/>
  <c r="E32" i="32"/>
  <c r="E30" i="32" s="1"/>
  <c r="E37" i="32" s="1"/>
  <c r="E41" i="32" s="1"/>
  <c r="E24" i="32" s="1"/>
  <c r="D36" i="32"/>
  <c r="D12" i="32" s="1"/>
  <c r="E36" i="32"/>
  <c r="E12" i="32" s="1"/>
  <c r="H37" i="32"/>
  <c r="C38" i="32"/>
  <c r="D38" i="32"/>
  <c r="E38" i="32"/>
  <c r="F38" i="32"/>
  <c r="G38" i="32"/>
  <c r="H38" i="32"/>
  <c r="I38" i="32"/>
  <c r="J38" i="32"/>
  <c r="K38" i="32"/>
  <c r="L38" i="32"/>
  <c r="M38" i="32"/>
  <c r="N38" i="32"/>
  <c r="O38" i="32"/>
  <c r="P38" i="32"/>
  <c r="Q38" i="32"/>
  <c r="R38" i="32"/>
  <c r="S38" i="32"/>
  <c r="T38" i="32"/>
  <c r="U38" i="32"/>
  <c r="V38" i="32"/>
  <c r="W38" i="32"/>
  <c r="X38" i="32"/>
  <c r="Y38" i="32"/>
  <c r="Z38" i="32"/>
  <c r="AA38" i="32"/>
  <c r="AB38" i="32"/>
  <c r="AC38" i="32"/>
  <c r="AD38" i="32"/>
  <c r="AE38" i="32"/>
  <c r="AF38" i="32"/>
  <c r="AG38" i="32"/>
  <c r="AH38" i="32"/>
  <c r="AI38" i="32"/>
  <c r="AJ38" i="32"/>
  <c r="AK38" i="32"/>
  <c r="AL38" i="32"/>
  <c r="AM38" i="32"/>
  <c r="AP38" i="32"/>
  <c r="AP45" i="32"/>
  <c r="S46" i="32"/>
  <c r="S45" i="32" s="1"/>
  <c r="T46" i="32"/>
  <c r="T45" i="32" s="1"/>
  <c r="U46" i="32"/>
  <c r="U45" i="32" s="1"/>
  <c r="V46" i="32"/>
  <c r="V45" i="32" s="1"/>
  <c r="W46" i="32"/>
  <c r="W45" i="32" s="1"/>
  <c r="X46" i="32"/>
  <c r="X45" i="32" s="1"/>
  <c r="Y46" i="32"/>
  <c r="Z46" i="32"/>
  <c r="Z45" i="32" s="1"/>
  <c r="AA46" i="32"/>
  <c r="AA45" i="32" s="1"/>
  <c r="AB46" i="32"/>
  <c r="AC46" i="32"/>
  <c r="AC45" i="32" s="1"/>
  <c r="AD46" i="32"/>
  <c r="AE46" i="32"/>
  <c r="AE45" i="32" s="1"/>
  <c r="AF46" i="32"/>
  <c r="AF45" i="32" s="1"/>
  <c r="AG46" i="32"/>
  <c r="AG45" i="32"/>
  <c r="AH46" i="32"/>
  <c r="AH45" i="32" s="1"/>
  <c r="AI46" i="32"/>
  <c r="AI45" i="32" s="1"/>
  <c r="AJ46" i="32"/>
  <c r="AK46" i="32"/>
  <c r="AK45" i="32" s="1"/>
  <c r="AL46" i="32"/>
  <c r="AL45" i="32" s="1"/>
  <c r="AM46" i="32"/>
  <c r="AM45" i="32" s="1"/>
  <c r="C48" i="32"/>
  <c r="C46" i="32" s="1"/>
  <c r="C45" i="32" s="1"/>
  <c r="D48" i="32"/>
  <c r="D46" i="32"/>
  <c r="E48" i="32"/>
  <c r="E46" i="32" s="1"/>
  <c r="E45" i="32" s="1"/>
  <c r="F48" i="32"/>
  <c r="F46" i="32" s="1"/>
  <c r="F45" i="32" s="1"/>
  <c r="F60" i="32" s="1"/>
  <c r="G48" i="32"/>
  <c r="G46" i="32" s="1"/>
  <c r="G45" i="32" s="1"/>
  <c r="H48" i="32"/>
  <c r="H46" i="32" s="1"/>
  <c r="I48" i="32"/>
  <c r="I46" i="32" s="1"/>
  <c r="J48" i="32"/>
  <c r="J46" i="32" s="1"/>
  <c r="J45" i="32" s="1"/>
  <c r="K48" i="32"/>
  <c r="K46" i="32" s="1"/>
  <c r="L48" i="32"/>
  <c r="L46" i="32" s="1"/>
  <c r="L45" i="32" s="1"/>
  <c r="M48" i="32"/>
  <c r="M46" i="32" s="1"/>
  <c r="N48" i="32"/>
  <c r="N46" i="32" s="1"/>
  <c r="N45" i="32" s="1"/>
  <c r="O48" i="32"/>
  <c r="O46" i="32" s="1"/>
  <c r="O45" i="32" s="1"/>
  <c r="P48" i="32"/>
  <c r="P46" i="32" s="1"/>
  <c r="P45" i="32" s="1"/>
  <c r="Q48" i="32"/>
  <c r="Q46" i="32" s="1"/>
  <c r="Q45" i="32" s="1"/>
  <c r="R48" i="32"/>
  <c r="R46" i="32" s="1"/>
  <c r="R45" i="32" s="1"/>
  <c r="D51" i="32"/>
  <c r="D9" i="32" s="1"/>
  <c r="AP53" i="32"/>
  <c r="AP60" i="32" s="1"/>
  <c r="R54" i="32"/>
  <c r="R53" i="32" s="1"/>
  <c r="S54" i="32"/>
  <c r="S53" i="32" s="1"/>
  <c r="T54" i="32"/>
  <c r="T53" i="32" s="1"/>
  <c r="U54" i="32"/>
  <c r="U53" i="32" s="1"/>
  <c r="U60" i="32" s="1"/>
  <c r="V54" i="32"/>
  <c r="V53" i="32" s="1"/>
  <c r="W54" i="32"/>
  <c r="X54" i="32"/>
  <c r="X53" i="32" s="1"/>
  <c r="X60" i="32" s="1"/>
  <c r="Y54" i="32"/>
  <c r="Y53" i="32" s="1"/>
  <c r="Z54" i="32"/>
  <c r="Z53" i="32" s="1"/>
  <c r="AA54" i="32"/>
  <c r="AA53" i="32" s="1"/>
  <c r="AB54" i="32"/>
  <c r="AB53" i="32" s="1"/>
  <c r="AC54" i="32"/>
  <c r="AC53" i="32" s="1"/>
  <c r="AD54" i="32"/>
  <c r="AE54" i="32"/>
  <c r="AE53" i="32" s="1"/>
  <c r="AF54" i="32"/>
  <c r="AG54" i="32"/>
  <c r="AG53" i="32" s="1"/>
  <c r="AH54" i="32"/>
  <c r="AH53" i="32" s="1"/>
  <c r="AI54" i="32"/>
  <c r="AI53" i="32" s="1"/>
  <c r="AJ54" i="32"/>
  <c r="AJ53" i="32" s="1"/>
  <c r="AK54" i="32"/>
  <c r="AK53" i="32" s="1"/>
  <c r="AL54" i="32"/>
  <c r="AL53" i="32" s="1"/>
  <c r="AM54" i="32"/>
  <c r="AM53" i="32"/>
  <c r="C56" i="32"/>
  <c r="C54" i="32" s="1"/>
  <c r="C53" i="32" s="1"/>
  <c r="D56" i="32"/>
  <c r="D54" i="32" s="1"/>
  <c r="D53" i="32" s="1"/>
  <c r="E56" i="32"/>
  <c r="E54" i="32" s="1"/>
  <c r="E53" i="32" s="1"/>
  <c r="E60" i="32" s="1"/>
  <c r="F56" i="32"/>
  <c r="F54" i="32" s="1"/>
  <c r="F53" i="32" s="1"/>
  <c r="G56" i="32"/>
  <c r="G54" i="32" s="1"/>
  <c r="G53" i="32" s="1"/>
  <c r="H56" i="32"/>
  <c r="H54" i="32" s="1"/>
  <c r="H53" i="32" s="1"/>
  <c r="I56" i="32"/>
  <c r="I54" i="32"/>
  <c r="J56" i="32"/>
  <c r="J54" i="32" s="1"/>
  <c r="J53" i="32" s="1"/>
  <c r="K56" i="32"/>
  <c r="K54" i="32" s="1"/>
  <c r="K53" i="32" s="1"/>
  <c r="L56" i="32"/>
  <c r="L54" i="32" s="1"/>
  <c r="L53" i="32" s="1"/>
  <c r="M56" i="32"/>
  <c r="M54" i="32" s="1"/>
  <c r="M53" i="32" s="1"/>
  <c r="N56" i="32"/>
  <c r="N54" i="32" s="1"/>
  <c r="N53" i="32" s="1"/>
  <c r="O56" i="32"/>
  <c r="O54" i="32" s="1"/>
  <c r="P56" i="32"/>
  <c r="P54" i="32" s="1"/>
  <c r="P53" i="32" s="1"/>
  <c r="Q56" i="32"/>
  <c r="Q54" i="32" s="1"/>
  <c r="Q53" i="32" s="1"/>
  <c r="C62" i="32"/>
  <c r="D62" i="32"/>
  <c r="E62" i="32"/>
  <c r="F62" i="32"/>
  <c r="G62" i="32"/>
  <c r="H62" i="32"/>
  <c r="I62" i="32"/>
  <c r="J62" i="32"/>
  <c r="K62" i="32"/>
  <c r="L62" i="32"/>
  <c r="M62" i="32"/>
  <c r="N62" i="32"/>
  <c r="O62" i="32"/>
  <c r="P62" i="32"/>
  <c r="Q62" i="32"/>
  <c r="R62" i="32"/>
  <c r="S62" i="32"/>
  <c r="T62" i="32"/>
  <c r="U62" i="32"/>
  <c r="V62" i="32"/>
  <c r="W62" i="32"/>
  <c r="X62" i="32"/>
  <c r="Y62" i="32"/>
  <c r="Z62" i="32"/>
  <c r="AA62" i="32"/>
  <c r="AB62" i="32"/>
  <c r="AC62" i="32"/>
  <c r="AD62" i="32"/>
  <c r="AE62" i="32"/>
  <c r="AF62" i="32"/>
  <c r="AG62" i="32"/>
  <c r="AH62" i="32"/>
  <c r="AI62" i="32"/>
  <c r="AJ62" i="32"/>
  <c r="AK62" i="32"/>
  <c r="AL62" i="32"/>
  <c r="AM62" i="32"/>
  <c r="C68" i="32"/>
  <c r="D68" i="32"/>
  <c r="E68" i="32"/>
  <c r="F68" i="32"/>
  <c r="G68" i="32"/>
  <c r="H68" i="32"/>
  <c r="I68" i="32"/>
  <c r="J68" i="32"/>
  <c r="K68" i="32"/>
  <c r="L68" i="32"/>
  <c r="M68" i="32"/>
  <c r="N68" i="32"/>
  <c r="N61" i="32" s="1"/>
  <c r="O68" i="32"/>
  <c r="P68" i="32"/>
  <c r="Q68" i="32"/>
  <c r="R68" i="32"/>
  <c r="S68" i="32"/>
  <c r="T68" i="32"/>
  <c r="U68" i="32"/>
  <c r="V68" i="32"/>
  <c r="V61" i="32" s="1"/>
  <c r="W68" i="32"/>
  <c r="X68" i="32"/>
  <c r="Y68" i="32"/>
  <c r="Z68" i="32"/>
  <c r="Z61" i="32" s="1"/>
  <c r="AA68" i="32"/>
  <c r="AB68" i="32"/>
  <c r="AD68" i="32"/>
  <c r="AE68" i="32"/>
  <c r="AE61" i="32" s="1"/>
  <c r="AF68" i="32"/>
  <c r="AG68" i="32"/>
  <c r="AH68" i="32"/>
  <c r="AH61" i="32" s="1"/>
  <c r="AI68" i="32"/>
  <c r="AJ68" i="32"/>
  <c r="AK68" i="32"/>
  <c r="AL68" i="32"/>
  <c r="AL61" i="32" s="1"/>
  <c r="AM68" i="32"/>
  <c r="AP68" i="32"/>
  <c r="AP61" i="32"/>
  <c r="AC70" i="32"/>
  <c r="N77" i="32"/>
  <c r="W77" i="32"/>
  <c r="W85" i="32" s="1"/>
  <c r="AI77" i="32"/>
  <c r="AI85" i="32" s="1"/>
  <c r="AJ77" i="32"/>
  <c r="AJ85" i="32" s="1"/>
  <c r="AK77" i="32"/>
  <c r="AK85" i="32" s="1"/>
  <c r="AK91" i="32" s="1"/>
  <c r="AK26" i="32" s="1"/>
  <c r="AL77" i="32"/>
  <c r="AL85" i="32"/>
  <c r="AM77" i="32"/>
  <c r="AM85" i="32" s="1"/>
  <c r="AP77" i="32"/>
  <c r="AP85" i="32" s="1"/>
  <c r="L78" i="32"/>
  <c r="M78" i="32"/>
  <c r="M77" i="32" s="1"/>
  <c r="M85" i="32" s="1"/>
  <c r="O78" i="32"/>
  <c r="O77" i="32" s="1"/>
  <c r="O85" i="32" s="1"/>
  <c r="Q78" i="32"/>
  <c r="R78" i="32"/>
  <c r="R77" i="32" s="1"/>
  <c r="R85" i="32" s="1"/>
  <c r="S78" i="32"/>
  <c r="S77" i="32" s="1"/>
  <c r="T78" i="32"/>
  <c r="U78" i="32"/>
  <c r="V78" i="32"/>
  <c r="V77" i="32" s="1"/>
  <c r="X78" i="32"/>
  <c r="X77" i="32" s="1"/>
  <c r="X85" i="32" s="1"/>
  <c r="Y78" i="32"/>
  <c r="Y77" i="32" s="1"/>
  <c r="Z78" i="32"/>
  <c r="Z77" i="32" s="1"/>
  <c r="Z85" i="32" s="1"/>
  <c r="AA78" i="32"/>
  <c r="AA77" i="32" s="1"/>
  <c r="AA85" i="32" s="1"/>
  <c r="AB78" i="32"/>
  <c r="AB77" i="32" s="1"/>
  <c r="AC78" i="32"/>
  <c r="AC77" i="32" s="1"/>
  <c r="AD78" i="32"/>
  <c r="AD77" i="32" s="1"/>
  <c r="AD85" i="32" s="1"/>
  <c r="AE78" i="32"/>
  <c r="AE77" i="32" s="1"/>
  <c r="AF78" i="32"/>
  <c r="AF77" i="32" s="1"/>
  <c r="AF85" i="32" s="1"/>
  <c r="AG78" i="32"/>
  <c r="AG77" i="32" s="1"/>
  <c r="AG85" i="32" s="1"/>
  <c r="AH78" i="32"/>
  <c r="AH77" i="32" s="1"/>
  <c r="C79" i="32"/>
  <c r="C77" i="32" s="1"/>
  <c r="D79" i="32"/>
  <c r="D77" i="32" s="1"/>
  <c r="E79" i="32"/>
  <c r="E77" i="32" s="1"/>
  <c r="F79" i="32"/>
  <c r="F77" i="32" s="1"/>
  <c r="G79" i="32"/>
  <c r="G77" i="32" s="1"/>
  <c r="H79" i="32"/>
  <c r="H77" i="32" s="1"/>
  <c r="H85" i="32" s="1"/>
  <c r="I79" i="32"/>
  <c r="I77" i="32" s="1"/>
  <c r="I85" i="32" s="1"/>
  <c r="J79" i="32"/>
  <c r="J77" i="32" s="1"/>
  <c r="J85" i="32" s="1"/>
  <c r="J91" i="32" s="1"/>
  <c r="J26" i="32" s="1"/>
  <c r="K79" i="32"/>
  <c r="K77" i="32" s="1"/>
  <c r="K85" i="32" s="1"/>
  <c r="L79" i="32"/>
  <c r="L77" i="32" s="1"/>
  <c r="L85" i="32" s="1"/>
  <c r="P79" i="32"/>
  <c r="P77" i="32" s="1"/>
  <c r="Q79" i="32"/>
  <c r="T79" i="32"/>
  <c r="U79" i="32"/>
  <c r="U77" i="32" s="1"/>
  <c r="U85" i="32" s="1"/>
  <c r="C81" i="32"/>
  <c r="C8" i="32" s="1"/>
  <c r="C17" i="24" s="1"/>
  <c r="D81" i="32"/>
  <c r="D8" i="32" s="1"/>
  <c r="D17" i="24" s="1"/>
  <c r="E81" i="32"/>
  <c r="E8" i="32" s="1"/>
  <c r="E17" i="24" s="1"/>
  <c r="F81" i="32"/>
  <c r="F8" i="32" s="1"/>
  <c r="N85" i="32"/>
  <c r="C86" i="32"/>
  <c r="D86" i="32"/>
  <c r="E86" i="32"/>
  <c r="F86" i="32"/>
  <c r="G86" i="32"/>
  <c r="H86" i="32"/>
  <c r="I86" i="32"/>
  <c r="J86" i="32"/>
  <c r="K86" i="32"/>
  <c r="L86" i="32"/>
  <c r="M86" i="32"/>
  <c r="N86" i="32"/>
  <c r="O86" i="32"/>
  <c r="P86" i="32"/>
  <c r="Q86" i="32"/>
  <c r="R86" i="32"/>
  <c r="S86" i="32"/>
  <c r="T86" i="32"/>
  <c r="U86" i="32"/>
  <c r="V86" i="32"/>
  <c r="W86" i="32"/>
  <c r="X86" i="32"/>
  <c r="Y86" i="32"/>
  <c r="Z86" i="32"/>
  <c r="AA86" i="32"/>
  <c r="AB86" i="32"/>
  <c r="AC86" i="32"/>
  <c r="AD86" i="32"/>
  <c r="AE86" i="32"/>
  <c r="AF86" i="32"/>
  <c r="AG86" i="32"/>
  <c r="AH86" i="32"/>
  <c r="AI86" i="32"/>
  <c r="AJ86" i="32"/>
  <c r="AK86" i="32"/>
  <c r="AL86" i="32"/>
  <c r="AM86" i="32"/>
  <c r="AP86" i="32"/>
  <c r="AP91" i="32" s="1"/>
  <c r="AC41" i="24"/>
  <c r="AC42" i="24" s="1"/>
  <c r="AM41" i="24"/>
  <c r="AM42" i="24" s="1"/>
  <c r="AA8" i="30"/>
  <c r="AB8" i="30"/>
  <c r="AC8" i="30"/>
  <c r="AE8" i="30"/>
  <c r="AE17" i="30" s="1"/>
  <c r="C13" i="30"/>
  <c r="C17" i="30" s="1"/>
  <c r="D13" i="30"/>
  <c r="D17" i="30" s="1"/>
  <c r="E13" i="30"/>
  <c r="E17" i="30" s="1"/>
  <c r="F13" i="30"/>
  <c r="F17" i="30" s="1"/>
  <c r="G13" i="30"/>
  <c r="G17" i="30" s="1"/>
  <c r="H13" i="30"/>
  <c r="H17" i="30" s="1"/>
  <c r="I13" i="30"/>
  <c r="I17" i="30" s="1"/>
  <c r="K13" i="30"/>
  <c r="K17" i="30" s="1"/>
  <c r="L13" i="30"/>
  <c r="L17" i="30" s="1"/>
  <c r="M13" i="30"/>
  <c r="M17" i="30" s="1"/>
  <c r="N13" i="30"/>
  <c r="N17" i="30" s="1"/>
  <c r="O13" i="30"/>
  <c r="O17" i="30" s="1"/>
  <c r="P13" i="30"/>
  <c r="P17" i="30" s="1"/>
  <c r="Q13" i="30"/>
  <c r="Q17" i="30" s="1"/>
  <c r="R13" i="30"/>
  <c r="R17" i="30" s="1"/>
  <c r="S13" i="30"/>
  <c r="S17" i="30" s="1"/>
  <c r="T13" i="30"/>
  <c r="T17" i="30" s="1"/>
  <c r="U13" i="30"/>
  <c r="U17" i="30" s="1"/>
  <c r="V13" i="30"/>
  <c r="V17" i="30" s="1"/>
  <c r="W13" i="30"/>
  <c r="W17" i="30" s="1"/>
  <c r="X13" i="30"/>
  <c r="X17" i="30" s="1"/>
  <c r="Y13" i="30"/>
  <c r="Y17" i="30" s="1"/>
  <c r="Z13" i="30"/>
  <c r="Z17" i="30" s="1"/>
  <c r="AA13" i="30"/>
  <c r="AB13" i="30"/>
  <c r="AC13" i="30"/>
  <c r="J15" i="30"/>
  <c r="J13" i="30" s="1"/>
  <c r="J17" i="30" s="1"/>
  <c r="AB6" i="30"/>
  <c r="AB5" i="30" s="1"/>
  <c r="AC6" i="30"/>
  <c r="AC5" i="30" s="1"/>
  <c r="X21" i="30"/>
  <c r="X26" i="30" s="1"/>
  <c r="AA22" i="30"/>
  <c r="AA26" i="30" s="1"/>
  <c r="AB22" i="30"/>
  <c r="AB26" i="30" s="1"/>
  <c r="AC22" i="30"/>
  <c r="AC26" i="30" s="1"/>
  <c r="AE22" i="30"/>
  <c r="AE26" i="30" s="1"/>
  <c r="O23" i="30"/>
  <c r="O26" i="30" s="1"/>
  <c r="C26" i="30"/>
  <c r="D26" i="30"/>
  <c r="E26" i="30"/>
  <c r="F26" i="30"/>
  <c r="G26" i="30"/>
  <c r="H26" i="30"/>
  <c r="I26" i="30"/>
  <c r="J26" i="30"/>
  <c r="K26" i="30"/>
  <c r="L26" i="30"/>
  <c r="M26" i="30"/>
  <c r="N26" i="30"/>
  <c r="P26" i="30"/>
  <c r="Q26" i="30"/>
  <c r="R26" i="30"/>
  <c r="S26" i="30"/>
  <c r="T26" i="30"/>
  <c r="U26" i="30"/>
  <c r="V26" i="30"/>
  <c r="W26" i="30"/>
  <c r="Y26" i="30"/>
  <c r="Z26" i="30"/>
  <c r="AD26" i="30"/>
  <c r="AF26" i="30"/>
  <c r="AG26" i="30"/>
  <c r="AH26" i="30"/>
  <c r="AI26" i="30"/>
  <c r="AJ26" i="30"/>
  <c r="AK26" i="30"/>
  <c r="AL26" i="30"/>
  <c r="AM26" i="30"/>
  <c r="AN26" i="30"/>
  <c r="C28" i="30"/>
  <c r="D28" i="30"/>
  <c r="E28" i="30"/>
  <c r="F28" i="30"/>
  <c r="G28" i="30"/>
  <c r="H28" i="30"/>
  <c r="I28" i="30"/>
  <c r="J28" i="30"/>
  <c r="K28" i="30"/>
  <c r="L28" i="30"/>
  <c r="M28" i="30"/>
  <c r="N28" i="30"/>
  <c r="O28" i="30"/>
  <c r="P28" i="30"/>
  <c r="Q28" i="30"/>
  <c r="R28" i="30"/>
  <c r="S28" i="30"/>
  <c r="T28" i="30"/>
  <c r="U28" i="30"/>
  <c r="V28" i="30"/>
  <c r="W28" i="30"/>
  <c r="X28" i="30"/>
  <c r="Y28" i="30"/>
  <c r="Z28" i="30"/>
  <c r="AD28" i="30"/>
  <c r="AF28" i="30"/>
  <c r="AG28" i="30"/>
  <c r="AH28" i="30"/>
  <c r="AH33" i="30" s="1"/>
  <c r="AI28" i="30"/>
  <c r="AI33" i="30" s="1"/>
  <c r="AJ28" i="30"/>
  <c r="AK28" i="30"/>
  <c r="AL28" i="30"/>
  <c r="AM28" i="30"/>
  <c r="AM33" i="30" s="1"/>
  <c r="AN28" i="30"/>
  <c r="AN33" i="30" s="1"/>
  <c r="AA29" i="30"/>
  <c r="AB29" i="30"/>
  <c r="AC29" i="30"/>
  <c r="AE29" i="30"/>
  <c r="AA30" i="30"/>
  <c r="AB30" i="30"/>
  <c r="AC30" i="30"/>
  <c r="AE30" i="30"/>
  <c r="C31" i="30"/>
  <c r="D31" i="30"/>
  <c r="E31" i="30"/>
  <c r="F31" i="30"/>
  <c r="G31" i="30"/>
  <c r="H31" i="30"/>
  <c r="I31" i="30"/>
  <c r="J31" i="30"/>
  <c r="K31" i="30"/>
  <c r="L31" i="30"/>
  <c r="M31" i="30"/>
  <c r="N31" i="30"/>
  <c r="O31" i="30"/>
  <c r="P31" i="30"/>
  <c r="Q31" i="30"/>
  <c r="R31" i="30"/>
  <c r="S31" i="30"/>
  <c r="T31" i="30"/>
  <c r="U31" i="30"/>
  <c r="V31" i="30"/>
  <c r="W31" i="30"/>
  <c r="X31" i="30"/>
  <c r="Y31" i="30"/>
  <c r="Z31" i="30"/>
  <c r="AA31" i="30"/>
  <c r="AB31" i="30"/>
  <c r="AC31" i="30"/>
  <c r="AD31" i="30"/>
  <c r="AD33" i="30" s="1"/>
  <c r="AE31" i="30"/>
  <c r="AF31" i="30"/>
  <c r="AG31" i="30"/>
  <c r="AJ31" i="30"/>
  <c r="AK31" i="30"/>
  <c r="AL31" i="30"/>
  <c r="AB6" i="29"/>
  <c r="AC6" i="29"/>
  <c r="L7" i="29"/>
  <c r="L23" i="29" s="1"/>
  <c r="P7" i="29"/>
  <c r="P23" i="29" s="1"/>
  <c r="Q7" i="29"/>
  <c r="R7" i="29"/>
  <c r="S7" i="29"/>
  <c r="T7" i="29"/>
  <c r="U7" i="29"/>
  <c r="V7" i="29"/>
  <c r="W7" i="29"/>
  <c r="X7" i="29"/>
  <c r="Y7" i="29"/>
  <c r="Z7" i="29"/>
  <c r="AA7" i="29"/>
  <c r="AB7" i="29"/>
  <c r="AC7" i="29"/>
  <c r="AD7" i="29"/>
  <c r="AF7" i="29"/>
  <c r="AG7" i="29"/>
  <c r="K8" i="29"/>
  <c r="K23" i="29" s="1"/>
  <c r="N8" i="29"/>
  <c r="N23" i="29" s="1"/>
  <c r="O8" i="29"/>
  <c r="O23" i="29" s="1"/>
  <c r="Q8" i="29"/>
  <c r="R8" i="29"/>
  <c r="S8" i="29"/>
  <c r="T8" i="29"/>
  <c r="U8" i="29"/>
  <c r="V8" i="29"/>
  <c r="W8" i="29"/>
  <c r="X8" i="29"/>
  <c r="Y8" i="29"/>
  <c r="Z8" i="29"/>
  <c r="AA8" i="29"/>
  <c r="AB8" i="29"/>
  <c r="AC8" i="29"/>
  <c r="AD8" i="29"/>
  <c r="AE8" i="29"/>
  <c r="AE23" i="29" s="1"/>
  <c r="AE27" i="29" s="1"/>
  <c r="AF8" i="29"/>
  <c r="AG8" i="29"/>
  <c r="AH8" i="29"/>
  <c r="AH23" i="29" s="1"/>
  <c r="AI8" i="29"/>
  <c r="AI23" i="29" s="1"/>
  <c r="AI27" i="29" s="1"/>
  <c r="AJ8" i="29"/>
  <c r="AK8" i="29"/>
  <c r="AK23" i="29" s="1"/>
  <c r="AL8" i="29"/>
  <c r="AL23" i="29" s="1"/>
  <c r="AA11" i="29"/>
  <c r="W15" i="29"/>
  <c r="X15" i="29"/>
  <c r="Y15" i="29"/>
  <c r="Z15" i="29"/>
  <c r="E22" i="29"/>
  <c r="E23" i="29" s="1"/>
  <c r="W22" i="29"/>
  <c r="X22" i="29"/>
  <c r="Y22" i="29"/>
  <c r="Z22" i="29"/>
  <c r="AA22" i="29"/>
  <c r="C23" i="29"/>
  <c r="D23" i="29"/>
  <c r="F23" i="29"/>
  <c r="G23" i="29"/>
  <c r="H23" i="29"/>
  <c r="I23" i="29"/>
  <c r="J23" i="29"/>
  <c r="M23" i="29"/>
  <c r="C25" i="29"/>
  <c r="D25" i="29"/>
  <c r="E25" i="29"/>
  <c r="F25" i="29"/>
  <c r="G25" i="29"/>
  <c r="H25" i="29"/>
  <c r="I25" i="29"/>
  <c r="J25" i="29"/>
  <c r="K25" i="29"/>
  <c r="L25" i="29"/>
  <c r="M25" i="29"/>
  <c r="N25" i="29"/>
  <c r="O25" i="29"/>
  <c r="P25" i="29"/>
  <c r="Q25" i="29"/>
  <c r="R25" i="29"/>
  <c r="S25" i="29"/>
  <c r="T25" i="29"/>
  <c r="U25" i="29"/>
  <c r="V25" i="29"/>
  <c r="W6" i="28"/>
  <c r="X6" i="28"/>
  <c r="P12" i="28"/>
  <c r="Y12" i="28"/>
  <c r="Y18" i="28" s="1"/>
  <c r="Y20" i="51" s="1"/>
  <c r="K13" i="28"/>
  <c r="Y13" i="28"/>
  <c r="C17" i="28"/>
  <c r="C18" i="28" s="1"/>
  <c r="C20" i="51" s="1"/>
  <c r="D17" i="28"/>
  <c r="D18" i="28" s="1"/>
  <c r="D20" i="51" s="1"/>
  <c r="E17" i="28"/>
  <c r="E18" i="28" s="1"/>
  <c r="E20" i="51" s="1"/>
  <c r="G17" i="28"/>
  <c r="G18" i="28" s="1"/>
  <c r="G20" i="51" s="1"/>
  <c r="H17" i="28"/>
  <c r="H18" i="28" s="1"/>
  <c r="H20" i="51" s="1"/>
  <c r="I17" i="28"/>
  <c r="I18" i="28" s="1"/>
  <c r="I20" i="51" s="1"/>
  <c r="J17" i="28"/>
  <c r="J18" i="28" s="1"/>
  <c r="J20" i="51" s="1"/>
  <c r="K17" i="28"/>
  <c r="L17" i="28"/>
  <c r="L18" i="28" s="1"/>
  <c r="L20" i="51" s="1"/>
  <c r="M17" i="28"/>
  <c r="M18" i="28" s="1"/>
  <c r="M20" i="51" s="1"/>
  <c r="O17" i="28"/>
  <c r="O18" i="28" s="1"/>
  <c r="O20" i="51" s="1"/>
  <c r="P17" i="28"/>
  <c r="R17" i="28"/>
  <c r="R18" i="28" s="1"/>
  <c r="R20" i="51" s="1"/>
  <c r="S17" i="28"/>
  <c r="S18" i="28" s="1"/>
  <c r="S20" i="51" s="1"/>
  <c r="T17" i="28"/>
  <c r="T18" i="28" s="1"/>
  <c r="T20" i="51" s="1"/>
  <c r="U17" i="28"/>
  <c r="U18" i="28" s="1"/>
  <c r="U20" i="51" s="1"/>
  <c r="V17" i="28"/>
  <c r="V18" i="28" s="1"/>
  <c r="V20" i="51" s="1"/>
  <c r="W17" i="28"/>
  <c r="X17" i="28"/>
  <c r="G21" i="28"/>
  <c r="G27" i="28" s="1"/>
  <c r="G21" i="51" s="1"/>
  <c r="H21" i="28"/>
  <c r="H27" i="28" s="1"/>
  <c r="H21" i="51" s="1"/>
  <c r="I21" i="28"/>
  <c r="J21" i="28"/>
  <c r="K21" i="28"/>
  <c r="K27" i="28" s="1"/>
  <c r="K21" i="51" s="1"/>
  <c r="L21" i="28"/>
  <c r="L27" i="28" s="1"/>
  <c r="L21" i="51" s="1"/>
  <c r="M21" i="28"/>
  <c r="N21" i="28"/>
  <c r="N27" i="28" s="1"/>
  <c r="N21" i="51" s="1"/>
  <c r="N19" i="51" s="1"/>
  <c r="W21" i="28"/>
  <c r="W27" i="28" s="1"/>
  <c r="W21" i="51" s="1"/>
  <c r="X21" i="28"/>
  <c r="Y21" i="28"/>
  <c r="Z21" i="28"/>
  <c r="AA21" i="28"/>
  <c r="AB21" i="28"/>
  <c r="AC21" i="28"/>
  <c r="AD21" i="28"/>
  <c r="AD27" i="28" s="1"/>
  <c r="C27" i="28"/>
  <c r="C21" i="51" s="1"/>
  <c r="D27" i="28"/>
  <c r="D21" i="51" s="1"/>
  <c r="E27" i="28"/>
  <c r="E21" i="51" s="1"/>
  <c r="F27" i="28"/>
  <c r="F21" i="51" s="1"/>
  <c r="F19" i="51" s="1"/>
  <c r="F23" i="51" s="1"/>
  <c r="O27" i="28"/>
  <c r="O21" i="51" s="1"/>
  <c r="P27" i="28"/>
  <c r="P21" i="51" s="1"/>
  <c r="Q27" i="28"/>
  <c r="Q21" i="51" s="1"/>
  <c r="Q19" i="51" s="1"/>
  <c r="R27" i="28"/>
  <c r="R21" i="51" s="1"/>
  <c r="S27" i="28"/>
  <c r="S21" i="51" s="1"/>
  <c r="T27" i="28"/>
  <c r="T21" i="51" s="1"/>
  <c r="U27" i="28"/>
  <c r="U21" i="51" s="1"/>
  <c r="V27" i="28"/>
  <c r="V21" i="51" s="1"/>
  <c r="AE27" i="28"/>
  <c r="AE21" i="51" s="1"/>
  <c r="AE19" i="51" s="1"/>
  <c r="AF27" i="28"/>
  <c r="AF21" i="51" s="1"/>
  <c r="AF19" i="51" s="1"/>
  <c r="AG27" i="28"/>
  <c r="AG21" i="51" s="1"/>
  <c r="AG19" i="51" s="1"/>
  <c r="AH27" i="28"/>
  <c r="AI27" i="28"/>
  <c r="AI21" i="51" s="1"/>
  <c r="AI19" i="51" s="1"/>
  <c r="AJ27" i="28"/>
  <c r="AJ21" i="51" s="1"/>
  <c r="AJ19" i="51" s="1"/>
  <c r="AK27" i="28"/>
  <c r="AK21" i="51" s="1"/>
  <c r="AK19" i="51" s="1"/>
  <c r="AL27" i="28"/>
  <c r="AL21" i="51" s="1"/>
  <c r="AL19" i="51" s="1"/>
  <c r="AM27" i="28"/>
  <c r="AM21" i="51" s="1"/>
  <c r="AM19" i="51" s="1"/>
  <c r="AM23" i="51" s="1"/>
  <c r="AN27" i="28"/>
  <c r="AN21" i="51" s="1"/>
  <c r="AN19" i="51" s="1"/>
  <c r="AN23" i="51" s="1"/>
  <c r="C8" i="25"/>
  <c r="C9" i="25" s="1"/>
  <c r="D9" i="25"/>
  <c r="E9" i="25"/>
  <c r="F9" i="25"/>
  <c r="G9" i="25"/>
  <c r="H9" i="25"/>
  <c r="I9" i="25"/>
  <c r="J9" i="25"/>
  <c r="K9" i="25"/>
  <c r="L9" i="25"/>
  <c r="M9" i="25"/>
  <c r="N9" i="25"/>
  <c r="O9" i="25"/>
  <c r="P9" i="25"/>
  <c r="Q9" i="25"/>
  <c r="R9" i="25"/>
  <c r="S9" i="25"/>
  <c r="T9" i="25"/>
  <c r="U9" i="25"/>
  <c r="V9" i="25"/>
  <c r="W9" i="25"/>
  <c r="X9" i="25"/>
  <c r="Y9" i="25"/>
  <c r="Z9" i="25"/>
  <c r="AA9" i="25"/>
  <c r="AB9" i="25"/>
  <c r="AC9" i="25"/>
  <c r="AD9" i="25"/>
  <c r="AE9" i="25"/>
  <c r="AF9" i="25"/>
  <c r="AF18" i="25" s="1"/>
  <c r="AF24" i="25" s="1"/>
  <c r="AG9" i="25"/>
  <c r="AH9" i="25"/>
  <c r="AI9" i="25"/>
  <c r="AJ9" i="25"/>
  <c r="AK9" i="25"/>
  <c r="AL9" i="25"/>
  <c r="AM9" i="25"/>
  <c r="AN9" i="25"/>
  <c r="E10" i="25"/>
  <c r="K10" i="25"/>
  <c r="L10" i="25"/>
  <c r="M10" i="25"/>
  <c r="N10" i="25"/>
  <c r="O10" i="25"/>
  <c r="P10" i="25"/>
  <c r="Q10" i="25"/>
  <c r="R10" i="25"/>
  <c r="S10" i="25"/>
  <c r="T10" i="25"/>
  <c r="U10" i="25"/>
  <c r="V10" i="25"/>
  <c r="AE12" i="25"/>
  <c r="AF12" i="25"/>
  <c r="C11" i="25"/>
  <c r="C12" i="25" s="1"/>
  <c r="D11" i="25"/>
  <c r="D12" i="25" s="1"/>
  <c r="D18" i="25" s="1"/>
  <c r="E11" i="25"/>
  <c r="F11" i="25"/>
  <c r="F12" i="25" s="1"/>
  <c r="G11" i="25"/>
  <c r="G12" i="25" s="1"/>
  <c r="H11" i="25"/>
  <c r="H12" i="25" s="1"/>
  <c r="I11" i="25"/>
  <c r="I12" i="25" s="1"/>
  <c r="J11" i="25"/>
  <c r="J12" i="25" s="1"/>
  <c r="K11" i="25"/>
  <c r="L11" i="25"/>
  <c r="M11" i="25"/>
  <c r="N11" i="25"/>
  <c r="O11" i="25"/>
  <c r="P11" i="25"/>
  <c r="P12" i="25" s="1"/>
  <c r="Q11" i="25"/>
  <c r="R11" i="25"/>
  <c r="S11" i="25"/>
  <c r="T11" i="25"/>
  <c r="U11" i="25"/>
  <c r="U12" i="25" s="1"/>
  <c r="V11" i="25"/>
  <c r="Y12" i="25"/>
  <c r="AJ12" i="25"/>
  <c r="AM12" i="25"/>
  <c r="AN12" i="25"/>
  <c r="T13" i="25"/>
  <c r="AA13" i="25"/>
  <c r="AB13" i="25"/>
  <c r="AC13" i="25"/>
  <c r="AE13" i="25"/>
  <c r="AF13" i="25"/>
  <c r="AA15" i="25"/>
  <c r="AB15" i="25"/>
  <c r="AC15" i="25"/>
  <c r="AE15" i="25"/>
  <c r="AI15" i="25"/>
  <c r="U16" i="25"/>
  <c r="V16" i="25"/>
  <c r="AA16" i="25"/>
  <c r="AB16" i="25"/>
  <c r="AC16" i="25"/>
  <c r="AE16" i="25"/>
  <c r="AI16" i="25"/>
  <c r="C7" i="24"/>
  <c r="D7" i="24"/>
  <c r="E7" i="24"/>
  <c r="F7" i="24"/>
  <c r="G7" i="24"/>
  <c r="H7" i="24"/>
  <c r="I7" i="24"/>
  <c r="J7" i="24"/>
  <c r="K7" i="24"/>
  <c r="L7" i="24"/>
  <c r="M7" i="24"/>
  <c r="N7" i="24"/>
  <c r="O7" i="24"/>
  <c r="P7" i="24"/>
  <c r="Q7" i="24"/>
  <c r="S7" i="24"/>
  <c r="T7" i="24"/>
  <c r="U7" i="24"/>
  <c r="V7" i="24"/>
  <c r="W7" i="24"/>
  <c r="X7" i="24"/>
  <c r="Y7" i="24"/>
  <c r="Z7" i="24"/>
  <c r="AA7" i="24"/>
  <c r="AB7" i="24"/>
  <c r="AC7" i="24"/>
  <c r="AD7" i="24"/>
  <c r="AE7" i="24"/>
  <c r="AG7" i="24"/>
  <c r="AI7" i="24"/>
  <c r="AJ7" i="24"/>
  <c r="AN7" i="24"/>
  <c r="AB21" i="25"/>
  <c r="AB8" i="24" s="1"/>
  <c r="AD21" i="25"/>
  <c r="AD8" i="24" s="1"/>
  <c r="J23" i="25"/>
  <c r="U25" i="25"/>
  <c r="AA25" i="25"/>
  <c r="AB25" i="25"/>
  <c r="AC25" i="25"/>
  <c r="AD25" i="25"/>
  <c r="AL7" i="24"/>
  <c r="AM7" i="24"/>
  <c r="C8" i="24"/>
  <c r="D8" i="24"/>
  <c r="E8" i="24"/>
  <c r="F8" i="24"/>
  <c r="G8" i="24"/>
  <c r="H8" i="24"/>
  <c r="I8" i="24"/>
  <c r="J8" i="24"/>
  <c r="K8" i="24"/>
  <c r="L8" i="24"/>
  <c r="M8" i="24"/>
  <c r="N8" i="24"/>
  <c r="O8" i="24"/>
  <c r="P8" i="24"/>
  <c r="Q8" i="24"/>
  <c r="R8" i="24"/>
  <c r="S8" i="24"/>
  <c r="T8" i="24"/>
  <c r="U8" i="24"/>
  <c r="V8" i="24"/>
  <c r="W8" i="24"/>
  <c r="X8" i="24"/>
  <c r="Y8" i="24"/>
  <c r="Z8" i="24"/>
  <c r="AA8" i="24"/>
  <c r="AC8" i="24"/>
  <c r="AE8" i="24"/>
  <c r="AF8" i="24"/>
  <c r="AG8" i="24"/>
  <c r="AH8" i="24"/>
  <c r="AI8" i="24"/>
  <c r="AJ8" i="24"/>
  <c r="AK8" i="24"/>
  <c r="AL8" i="24"/>
  <c r="AM8" i="24"/>
  <c r="AN8" i="24"/>
  <c r="AD16" i="24"/>
  <c r="AF16" i="24"/>
  <c r="AH16" i="24"/>
  <c r="AJ16" i="24"/>
  <c r="Z41" i="24"/>
  <c r="Z42" i="24" s="1"/>
  <c r="AG41" i="24"/>
  <c r="AG42" i="24" s="1"/>
  <c r="AK41" i="24"/>
  <c r="AK42" i="24" s="1"/>
  <c r="AL41" i="24"/>
  <c r="AL42" i="24" s="1"/>
  <c r="C42" i="24"/>
  <c r="D42" i="24"/>
  <c r="E42" i="24"/>
  <c r="F42" i="24"/>
  <c r="G42" i="24"/>
  <c r="H42" i="24"/>
  <c r="I42" i="24"/>
  <c r="J42" i="24"/>
  <c r="K42" i="24"/>
  <c r="L42" i="24"/>
  <c r="M42" i="24"/>
  <c r="N42" i="24"/>
  <c r="O42" i="24"/>
  <c r="P42" i="24"/>
  <c r="Q42" i="24"/>
  <c r="R42" i="24"/>
  <c r="S42" i="24"/>
  <c r="T42" i="24"/>
  <c r="U42" i="24"/>
  <c r="V42" i="24"/>
  <c r="W42" i="24"/>
  <c r="X42" i="24"/>
  <c r="C44" i="24"/>
  <c r="D44" i="24"/>
  <c r="E44" i="24"/>
  <c r="F44" i="24"/>
  <c r="G44" i="24"/>
  <c r="H44" i="24"/>
  <c r="I44" i="24"/>
  <c r="J44" i="24"/>
  <c r="K44" i="24"/>
  <c r="L44" i="24"/>
  <c r="M44" i="24"/>
  <c r="N44" i="24"/>
  <c r="O44" i="24"/>
  <c r="P44" i="24"/>
  <c r="Q44" i="24"/>
  <c r="R44" i="24"/>
  <c r="S44" i="24"/>
  <c r="T44" i="24"/>
  <c r="U44" i="24"/>
  <c r="V44" i="24"/>
  <c r="W44" i="24"/>
  <c r="X44" i="24"/>
  <c r="Y44" i="24"/>
  <c r="Z44" i="24"/>
  <c r="AA44" i="24"/>
  <c r="AB44" i="24"/>
  <c r="AC44" i="24"/>
  <c r="AD44" i="24"/>
  <c r="AE44" i="24"/>
  <c r="AF44" i="24"/>
  <c r="AG44" i="24"/>
  <c r="AH44" i="24"/>
  <c r="AI44" i="24"/>
  <c r="AJ44" i="24"/>
  <c r="AK44" i="24"/>
  <c r="AL44" i="24"/>
  <c r="AM44" i="24"/>
  <c r="AN44" i="24"/>
  <c r="C50" i="24"/>
  <c r="D50" i="24"/>
  <c r="E50" i="24"/>
  <c r="F50" i="24"/>
  <c r="G50" i="24"/>
  <c r="H50" i="24"/>
  <c r="I50" i="24"/>
  <c r="J50" i="24"/>
  <c r="K50" i="24"/>
  <c r="L50" i="24"/>
  <c r="M50" i="24"/>
  <c r="N50" i="24"/>
  <c r="O50" i="24"/>
  <c r="P50" i="24"/>
  <c r="Q50" i="24"/>
  <c r="R50" i="24"/>
  <c r="S50" i="24"/>
  <c r="T50" i="24"/>
  <c r="U50" i="24"/>
  <c r="V50" i="24"/>
  <c r="W50" i="24"/>
  <c r="X50" i="24"/>
  <c r="Y50" i="24"/>
  <c r="Z50" i="24"/>
  <c r="AA50" i="24"/>
  <c r="AB50" i="24"/>
  <c r="AC50" i="24"/>
  <c r="AD50" i="24"/>
  <c r="AE50" i="24"/>
  <c r="AF50" i="24"/>
  <c r="AG50" i="24"/>
  <c r="AH50" i="24"/>
  <c r="AI50" i="24"/>
  <c r="AJ50" i="24"/>
  <c r="AK50" i="24"/>
  <c r="AL50" i="24"/>
  <c r="AM50" i="24"/>
  <c r="C51" i="24"/>
  <c r="D51" i="24"/>
  <c r="E51" i="24"/>
  <c r="F51" i="24"/>
  <c r="G51" i="24"/>
  <c r="H51" i="24"/>
  <c r="I51" i="24"/>
  <c r="J51" i="24"/>
  <c r="K51" i="24"/>
  <c r="L51" i="24"/>
  <c r="M51" i="24"/>
  <c r="N51" i="24"/>
  <c r="O51" i="24"/>
  <c r="P51" i="24"/>
  <c r="Q51" i="24"/>
  <c r="R51" i="24"/>
  <c r="S51" i="24"/>
  <c r="T51" i="24"/>
  <c r="U51" i="24"/>
  <c r="V51" i="24"/>
  <c r="W51" i="24"/>
  <c r="X51" i="24"/>
  <c r="Y51" i="24"/>
  <c r="Z51" i="24"/>
  <c r="AA51" i="24"/>
  <c r="AB51" i="24"/>
  <c r="AC51" i="24"/>
  <c r="AD51" i="24"/>
  <c r="AE51" i="24"/>
  <c r="AF51" i="24"/>
  <c r="AG51" i="24"/>
  <c r="C37" i="32"/>
  <c r="AL37" i="32"/>
  <c r="AL41" i="32" s="1"/>
  <c r="AL24" i="32" s="1"/>
  <c r="AH37" i="32"/>
  <c r="AH41" i="32" s="1"/>
  <c r="AH24" i="32" s="1"/>
  <c r="V37" i="32"/>
  <c r="V41" i="32" s="1"/>
  <c r="V24" i="32" s="1"/>
  <c r="R37" i="32"/>
  <c r="R41" i="32" s="1"/>
  <c r="R24" i="32" s="1"/>
  <c r="AJ10" i="32"/>
  <c r="T10" i="32"/>
  <c r="AE85" i="32"/>
  <c r="AE91" i="32" s="1"/>
  <c r="AE26" i="32" s="1"/>
  <c r="S15" i="32"/>
  <c r="AI23" i="35"/>
  <c r="W58" i="41"/>
  <c r="W61" i="41"/>
  <c r="G56" i="41"/>
  <c r="G53" i="41" s="1"/>
  <c r="G61" i="41"/>
  <c r="G58" i="41" s="1"/>
  <c r="X61" i="41"/>
  <c r="X58" i="41"/>
  <c r="X56" i="41"/>
  <c r="H61" i="41"/>
  <c r="H58" i="41" s="1"/>
  <c r="H56" i="41"/>
  <c r="H53" i="41" s="1"/>
  <c r="J6" i="35"/>
  <c r="J8" i="35" s="1"/>
  <c r="AD59" i="41"/>
  <c r="AD58" i="41" s="1"/>
  <c r="Z58" i="41"/>
  <c r="V59" i="41"/>
  <c r="AJ19" i="35"/>
  <c r="AJ9" i="35" s="1"/>
  <c r="AF19" i="35"/>
  <c r="AF9" i="35" s="1"/>
  <c r="X19" i="35"/>
  <c r="X9" i="35" s="1"/>
  <c r="T19" i="35"/>
  <c r="T9" i="35" s="1"/>
  <c r="L19" i="35"/>
  <c r="L9" i="35" s="1"/>
  <c r="AK19" i="35"/>
  <c r="AK9" i="35" s="1"/>
  <c r="AG19" i="35"/>
  <c r="AG9" i="35" s="1"/>
  <c r="AC19" i="35"/>
  <c r="AC9" i="35" s="1"/>
  <c r="Y19" i="35"/>
  <c r="Y9" i="35" s="1"/>
  <c r="U19" i="35"/>
  <c r="U9" i="35" s="1"/>
  <c r="Q19" i="35"/>
  <c r="Q9" i="35" s="1"/>
  <c r="I19" i="35"/>
  <c r="I9" i="35" s="1"/>
  <c r="C56" i="41"/>
  <c r="C53" i="41" s="1"/>
  <c r="S56" i="41"/>
  <c r="S53" i="41" s="1"/>
  <c r="AB59" i="41"/>
  <c r="AB58" i="41" s="1"/>
  <c r="L61" i="41"/>
  <c r="L58" i="41" s="1"/>
  <c r="O56" i="41"/>
  <c r="O53" i="41" s="1"/>
  <c r="P61" i="41"/>
  <c r="P58" i="41" s="1"/>
  <c r="AA59" i="41"/>
  <c r="K56" i="41"/>
  <c r="K53" i="41" s="1"/>
  <c r="T61" i="41"/>
  <c r="T58" i="41" s="1"/>
  <c r="D61" i="41"/>
  <c r="D58" i="41" s="1"/>
  <c r="Z59" i="41"/>
  <c r="AH41" i="24"/>
  <c r="AH42" i="24" s="1"/>
  <c r="AA41" i="24"/>
  <c r="AA42" i="24" s="1"/>
  <c r="AF41" i="24"/>
  <c r="AF42" i="24" s="1"/>
  <c r="AC28" i="30"/>
  <c r="AC33" i="30" s="1"/>
  <c r="Q29" i="28"/>
  <c r="Y45" i="32"/>
  <c r="AJ41" i="24"/>
  <c r="AJ42" i="24" s="1"/>
  <c r="AB41" i="24"/>
  <c r="AB42" i="24" s="1"/>
  <c r="N60" i="32"/>
  <c r="AD15" i="32"/>
  <c r="AD14" i="32" s="1"/>
  <c r="AM19" i="35"/>
  <c r="AM9" i="35" s="1"/>
  <c r="AE19" i="35"/>
  <c r="AE9" i="35" s="1"/>
  <c r="W19" i="35"/>
  <c r="W9" i="35" s="1"/>
  <c r="O19" i="35"/>
  <c r="O9" i="35" s="1"/>
  <c r="G19" i="35"/>
  <c r="G9" i="35" s="1"/>
  <c r="AD61" i="32"/>
  <c r="V61" i="41"/>
  <c r="Y58" i="41"/>
  <c r="O61" i="41"/>
  <c r="O58" i="41" s="1"/>
  <c r="R61" i="41"/>
  <c r="R58" i="41" s="1"/>
  <c r="M61" i="41"/>
  <c r="M58" i="41" s="1"/>
  <c r="M56" i="41"/>
  <c r="M53" i="41" s="1"/>
  <c r="AH7" i="24"/>
  <c r="AK7" i="24"/>
  <c r="AG12" i="25"/>
  <c r="J61" i="32"/>
  <c r="W53" i="32"/>
  <c r="Q60" i="32"/>
  <c r="E56" i="41"/>
  <c r="E53" i="41" s="1"/>
  <c r="T56" i="41"/>
  <c r="T53" i="41" s="1"/>
  <c r="N56" i="41"/>
  <c r="N53" i="41" s="1"/>
  <c r="N61" i="41"/>
  <c r="N58" i="41" s="1"/>
  <c r="I56" i="41"/>
  <c r="I53" i="41" s="1"/>
  <c r="AJ15" i="32"/>
  <c r="V10" i="32"/>
  <c r="AM10" i="32"/>
  <c r="L56" i="41"/>
  <c r="L53" i="41" s="1"/>
  <c r="AG54" i="41"/>
  <c r="AG53" i="41" s="1"/>
  <c r="AG21" i="24" s="1"/>
  <c r="P56" i="41"/>
  <c r="P53" i="41" s="1"/>
  <c r="AB28" i="35"/>
  <c r="AB33" i="35" s="1"/>
  <c r="AB10" i="35" s="1"/>
  <c r="D28" i="35"/>
  <c r="I61" i="41"/>
  <c r="I58" i="41" s="1"/>
  <c r="AF7" i="24"/>
  <c r="U6" i="32"/>
  <c r="K45" i="32"/>
  <c r="H28" i="35"/>
  <c r="R7" i="24"/>
  <c r="AO41" i="35"/>
  <c r="AO11" i="35" s="1"/>
  <c r="AC85" i="32"/>
  <c r="AC91" i="32" s="1"/>
  <c r="AC26" i="32" s="1"/>
  <c r="F37" i="32"/>
  <c r="F41" i="32" s="1"/>
  <c r="F24" i="32" s="1"/>
  <c r="AB45" i="32"/>
  <c r="AB60" i="32" s="1"/>
  <c r="P85" i="32"/>
  <c r="I53" i="32"/>
  <c r="AD53" i="32"/>
  <c r="AJ41" i="32"/>
  <c r="AJ24" i="32" s="1"/>
  <c r="X27" i="28"/>
  <c r="X21" i="51" s="1"/>
  <c r="X91" i="32"/>
  <c r="X26" i="32" s="1"/>
  <c r="AF15" i="32"/>
  <c r="E15" i="32"/>
  <c r="Z10" i="32"/>
  <c r="F10" i="32"/>
  <c r="AF33" i="35"/>
  <c r="AF10" i="35" s="1"/>
  <c r="K61" i="41"/>
  <c r="K58" i="41" s="1"/>
  <c r="S61" i="41"/>
  <c r="S58" i="41" s="1"/>
  <c r="F61" i="41"/>
  <c r="F58" i="41" s="1"/>
  <c r="F56" i="41"/>
  <c r="F53" i="41" s="1"/>
  <c r="AN28" i="35"/>
  <c r="AN33" i="35" s="1"/>
  <c r="AN10" i="35" s="1"/>
  <c r="AQ60" i="32"/>
  <c r="AO13" i="32"/>
  <c r="AE41" i="24"/>
  <c r="AE42" i="24" s="1"/>
  <c r="J6" i="32"/>
  <c r="AL6" i="35"/>
  <c r="AL8" i="35" s="1"/>
  <c r="Q61" i="32"/>
  <c r="Q73" i="32" s="1"/>
  <c r="Q25" i="32" s="1"/>
  <c r="M61" i="32"/>
  <c r="L6" i="32"/>
  <c r="L15" i="24" s="1"/>
  <c r="I27" i="28"/>
  <c r="I21" i="51" s="1"/>
  <c r="S29" i="28"/>
  <c r="AB28" i="30"/>
  <c r="AB33" i="30" s="1"/>
  <c r="Q41" i="32"/>
  <c r="Q24" i="32" s="1"/>
  <c r="M41" i="32"/>
  <c r="M24" i="32" s="1"/>
  <c r="AC20" i="32"/>
  <c r="I20" i="32"/>
  <c r="V56" i="41"/>
  <c r="AN20" i="32"/>
  <c r="AM17" i="41"/>
  <c r="Q56" i="41"/>
  <c r="Q53" i="41" s="1"/>
  <c r="AR28" i="35"/>
  <c r="AR61" i="32"/>
  <c r="AR60" i="32"/>
  <c r="AR10" i="32"/>
  <c r="AR37" i="32"/>
  <c r="AR41" i="32" s="1"/>
  <c r="AR24" i="32" s="1"/>
  <c r="AS20" i="32"/>
  <c r="AS60" i="32"/>
  <c r="AC23" i="29" l="1"/>
  <c r="AC27" i="29" s="1"/>
  <c r="AI17" i="41"/>
  <c r="AE6" i="32"/>
  <c r="AH27" i="29"/>
  <c r="AP73" i="32"/>
  <c r="G10" i="32"/>
  <c r="AS10" i="32"/>
  <c r="AS61" i="32"/>
  <c r="K60" i="32"/>
  <c r="AA6" i="32"/>
  <c r="Q12" i="25"/>
  <c r="V33" i="35"/>
  <c r="V10" i="35" s="1"/>
  <c r="N33" i="35"/>
  <c r="N10" i="35" s="1"/>
  <c r="AG33" i="30"/>
  <c r="M33" i="30"/>
  <c r="X61" i="32"/>
  <c r="H61" i="32"/>
  <c r="AA33" i="35"/>
  <c r="AA10" i="35" s="1"/>
  <c r="S33" i="35"/>
  <c r="S10" i="35" s="1"/>
  <c r="K33" i="35"/>
  <c r="K10" i="35" s="1"/>
  <c r="AN16" i="24"/>
  <c r="AG23" i="29"/>
  <c r="AG27" i="29" s="1"/>
  <c r="AR6" i="32"/>
  <c r="AR5" i="32" s="1"/>
  <c r="I14" i="32"/>
  <c r="AN6" i="32"/>
  <c r="AL29" i="28"/>
  <c r="AI6" i="35"/>
  <c r="AI8" i="35" s="1"/>
  <c r="AF6" i="35"/>
  <c r="AF8" i="35" s="1"/>
  <c r="AM23" i="35"/>
  <c r="AM33" i="35" s="1"/>
  <c r="AM10" i="35" s="1"/>
  <c r="AO29" i="28"/>
  <c r="AH60" i="32"/>
  <c r="AA41" i="32"/>
  <c r="AA24" i="32" s="1"/>
  <c r="K41" i="32"/>
  <c r="K24" i="32" s="1"/>
  <c r="Z15" i="32"/>
  <c r="AA15" i="32"/>
  <c r="AB10" i="32"/>
  <c r="L10" i="32"/>
  <c r="D10" i="32"/>
  <c r="G14" i="42"/>
  <c r="G17" i="42" s="1"/>
  <c r="O14" i="42"/>
  <c r="O17" i="42" s="1"/>
  <c r="X14" i="42"/>
  <c r="X17" i="42" s="1"/>
  <c r="AF14" i="42"/>
  <c r="AF17" i="42" s="1"/>
  <c r="AL27" i="29"/>
  <c r="AD23" i="29"/>
  <c r="AD27" i="29" s="1"/>
  <c r="Y61" i="32"/>
  <c r="I61" i="32"/>
  <c r="Z20" i="32"/>
  <c r="J20" i="32"/>
  <c r="L15" i="32"/>
  <c r="H14" i="42"/>
  <c r="H17" i="42" s="1"/>
  <c r="P14" i="42"/>
  <c r="P17" i="42" s="1"/>
  <c r="E6" i="32"/>
  <c r="F17" i="24"/>
  <c r="AG61" i="32"/>
  <c r="E61" i="32"/>
  <c r="I14" i="26"/>
  <c r="I17" i="26" s="1"/>
  <c r="Q14" i="26"/>
  <c r="Q17" i="26" s="1"/>
  <c r="AI6" i="32"/>
  <c r="AK6" i="32"/>
  <c r="AJ61" i="32"/>
  <c r="AB61" i="32"/>
  <c r="AB73" i="32" s="1"/>
  <c r="AB25" i="32" s="1"/>
  <c r="N10" i="32"/>
  <c r="AP33" i="35"/>
  <c r="AP10" i="35" s="1"/>
  <c r="AO41" i="32"/>
  <c r="M28" i="35"/>
  <c r="M6" i="35"/>
  <c r="M8" i="35" s="1"/>
  <c r="AJ23" i="35"/>
  <c r="AJ6" i="35"/>
  <c r="AJ8" i="35" s="1"/>
  <c r="P91" i="32"/>
  <c r="P26" i="32" s="1"/>
  <c r="AG18" i="25"/>
  <c r="N6" i="35"/>
  <c r="N8" i="35" s="1"/>
  <c r="Y18" i="25"/>
  <c r="Y6" i="24" s="1"/>
  <c r="C27" i="29"/>
  <c r="AH73" i="32"/>
  <c r="AH25" i="32" s="1"/>
  <c r="AE16" i="24"/>
  <c r="AO23" i="35"/>
  <c r="AO6" i="35"/>
  <c r="AO8" i="35" s="1"/>
  <c r="AN5" i="26"/>
  <c r="AN14" i="26" s="1"/>
  <c r="AN17" i="26" s="1"/>
  <c r="AC28" i="35"/>
  <c r="AC33" i="35" s="1"/>
  <c r="AC10" i="35" s="1"/>
  <c r="AC6" i="35"/>
  <c r="AC8" i="35" s="1"/>
  <c r="U6" i="35"/>
  <c r="U8" i="35" s="1"/>
  <c r="Z6" i="35"/>
  <c r="Z8" i="35" s="1"/>
  <c r="AD41" i="32"/>
  <c r="AD24" i="32" s="1"/>
  <c r="Z41" i="32"/>
  <c r="Z24" i="32" s="1"/>
  <c r="N6" i="32"/>
  <c r="N5" i="32" s="1"/>
  <c r="N13" i="32" s="1"/>
  <c r="N23" i="32" s="1"/>
  <c r="N37" i="32"/>
  <c r="N41" i="32" s="1"/>
  <c r="N24" i="32" s="1"/>
  <c r="AH15" i="32"/>
  <c r="R15" i="32"/>
  <c r="J15" i="32"/>
  <c r="J14" i="32" s="1"/>
  <c r="F15" i="32"/>
  <c r="F14" i="32" s="1"/>
  <c r="AL16" i="24"/>
  <c r="Z16" i="24"/>
  <c r="AA19" i="35"/>
  <c r="AA9" i="35" s="1"/>
  <c r="AA6" i="35"/>
  <c r="AA8" i="35" s="1"/>
  <c r="P6" i="35"/>
  <c r="P8" i="35" s="1"/>
  <c r="P19" i="35"/>
  <c r="P9" i="35" s="1"/>
  <c r="AK15" i="24"/>
  <c r="AK5" i="32"/>
  <c r="K6" i="35"/>
  <c r="K8" i="35" s="1"/>
  <c r="Y6" i="35"/>
  <c r="Y8" i="35" s="1"/>
  <c r="AD6" i="35"/>
  <c r="AD8" i="35" s="1"/>
  <c r="U91" i="32"/>
  <c r="U26" i="32" s="1"/>
  <c r="H91" i="32"/>
  <c r="H26" i="32" s="1"/>
  <c r="M91" i="32"/>
  <c r="M26" i="32" s="1"/>
  <c r="L60" i="32"/>
  <c r="X73" i="32"/>
  <c r="X25" i="32" s="1"/>
  <c r="R28" i="35"/>
  <c r="R33" i="35" s="1"/>
  <c r="R10" i="35" s="1"/>
  <c r="R6" i="35"/>
  <c r="R8" i="35" s="1"/>
  <c r="AK6" i="35"/>
  <c r="AK8" i="35" s="1"/>
  <c r="V19" i="35"/>
  <c r="V9" i="35" s="1"/>
  <c r="V6" i="35"/>
  <c r="V8" i="35" s="1"/>
  <c r="S6" i="35"/>
  <c r="S8" i="35" s="1"/>
  <c r="O6" i="35"/>
  <c r="O8" i="35" s="1"/>
  <c r="Z60" i="32"/>
  <c r="Z73" i="32" s="1"/>
  <c r="Z25" i="32" s="1"/>
  <c r="D33" i="35"/>
  <c r="D10" i="35" s="1"/>
  <c r="Y60" i="32"/>
  <c r="Y73" i="32" s="1"/>
  <c r="Y25" i="32" s="1"/>
  <c r="AK27" i="29"/>
  <c r="Q23" i="29"/>
  <c r="V33" i="30"/>
  <c r="N33" i="30"/>
  <c r="J33" i="30"/>
  <c r="AC17" i="30"/>
  <c r="T77" i="32"/>
  <c r="T6" i="32" s="1"/>
  <c r="R91" i="32"/>
  <c r="R26" i="32" s="1"/>
  <c r="AF61" i="32"/>
  <c r="P61" i="32"/>
  <c r="C60" i="32"/>
  <c r="K10" i="32"/>
  <c r="AP13" i="32"/>
  <c r="AQ13" i="32"/>
  <c r="AM14" i="42"/>
  <c r="AM17" i="42" s="1"/>
  <c r="V14" i="26"/>
  <c r="V17" i="26" s="1"/>
  <c r="Z14" i="26"/>
  <c r="Z17" i="26" s="1"/>
  <c r="AD14" i="26"/>
  <c r="AD17" i="26" s="1"/>
  <c r="AH14" i="26"/>
  <c r="AH17" i="26" s="1"/>
  <c r="J18" i="25"/>
  <c r="J6" i="24" s="1"/>
  <c r="J35" i="24" s="1"/>
  <c r="K18" i="28"/>
  <c r="K20" i="51" s="1"/>
  <c r="G27" i="29"/>
  <c r="AJ23" i="29"/>
  <c r="AJ27" i="29" s="1"/>
  <c r="AF23" i="29"/>
  <c r="AF27" i="29" s="1"/>
  <c r="H41" i="32"/>
  <c r="H24" i="32" s="1"/>
  <c r="AP20" i="32"/>
  <c r="AP14" i="32" s="1"/>
  <c r="AP23" i="32" s="1"/>
  <c r="C33" i="35"/>
  <c r="C10" i="35" s="1"/>
  <c r="F14" i="42"/>
  <c r="F17" i="42" s="1"/>
  <c r="J14" i="42"/>
  <c r="J17" i="42" s="1"/>
  <c r="N14" i="42"/>
  <c r="N17" i="42" s="1"/>
  <c r="R14" i="42"/>
  <c r="R17" i="42" s="1"/>
  <c r="W14" i="42"/>
  <c r="W17" i="42" s="1"/>
  <c r="AA14" i="42"/>
  <c r="AA17" i="42" s="1"/>
  <c r="AE14" i="42"/>
  <c r="AE17" i="42" s="1"/>
  <c r="AI14" i="42"/>
  <c r="AI17" i="42" s="1"/>
  <c r="F14" i="26"/>
  <c r="F17" i="26" s="1"/>
  <c r="J14" i="26"/>
  <c r="J17" i="26" s="1"/>
  <c r="N14" i="26"/>
  <c r="N17" i="26" s="1"/>
  <c r="R14" i="26"/>
  <c r="R17" i="26" s="1"/>
  <c r="AO17" i="41"/>
  <c r="AQ28" i="35"/>
  <c r="AQ33" i="35" s="1"/>
  <c r="AQ10" i="35" s="1"/>
  <c r="AQ6" i="35"/>
  <c r="AQ8" i="35" s="1"/>
  <c r="I45" i="32"/>
  <c r="I60" i="32" s="1"/>
  <c r="I73" i="32" s="1"/>
  <c r="I25" i="32" s="1"/>
  <c r="I6" i="32"/>
  <c r="T60" i="32"/>
  <c r="F85" i="32"/>
  <c r="F91" i="32" s="1"/>
  <c r="F26" i="32" s="1"/>
  <c r="AK60" i="32"/>
  <c r="AA60" i="32"/>
  <c r="Y41" i="32"/>
  <c r="Y24" i="32" s="1"/>
  <c r="I41" i="32"/>
  <c r="I24" i="32" s="1"/>
  <c r="AO61" i="32"/>
  <c r="AS14" i="32"/>
  <c r="L5" i="32"/>
  <c r="L13" i="32" s="1"/>
  <c r="AA17" i="30"/>
  <c r="AG91" i="32"/>
  <c r="AG26" i="32" s="1"/>
  <c r="P60" i="32"/>
  <c r="P73" i="32" s="1"/>
  <c r="P25" i="32" s="1"/>
  <c r="J60" i="32"/>
  <c r="AG60" i="32"/>
  <c r="AG73" i="32" s="1"/>
  <c r="AG25" i="32" s="1"/>
  <c r="U15" i="32"/>
  <c r="W18" i="28"/>
  <c r="W20" i="51" s="1"/>
  <c r="W19" i="51" s="1"/>
  <c r="AF91" i="32"/>
  <c r="AF26" i="32" s="1"/>
  <c r="AM61" i="32"/>
  <c r="AI61" i="32"/>
  <c r="AA61" i="32"/>
  <c r="S61" i="32"/>
  <c r="O61" i="32"/>
  <c r="K61" i="32"/>
  <c r="G61" i="32"/>
  <c r="C61" i="32"/>
  <c r="H20" i="32"/>
  <c r="M14" i="32"/>
  <c r="AK33" i="35"/>
  <c r="AK10" i="35" s="1"/>
  <c r="M33" i="35"/>
  <c r="M10" i="35" s="1"/>
  <c r="AN91" i="32"/>
  <c r="AN26" i="32" s="1"/>
  <c r="Y14" i="42"/>
  <c r="Y17" i="42" s="1"/>
  <c r="AG14" i="42"/>
  <c r="AG17" i="42" s="1"/>
  <c r="AN5" i="42"/>
  <c r="AN14" i="42" s="1"/>
  <c r="AN17" i="42" s="1"/>
  <c r="AO5" i="42"/>
  <c r="AO14" i="42" s="1"/>
  <c r="AO17" i="42" s="1"/>
  <c r="D14" i="26"/>
  <c r="D17" i="26" s="1"/>
  <c r="K14" i="26"/>
  <c r="K17" i="26" s="1"/>
  <c r="X14" i="26"/>
  <c r="X17" i="26" s="1"/>
  <c r="C6" i="32"/>
  <c r="AJ91" i="32"/>
  <c r="AJ26" i="32" s="1"/>
  <c r="AK41" i="32"/>
  <c r="AK24" i="32" s="1"/>
  <c r="AG41" i="32"/>
  <c r="AG24" i="32" s="1"/>
  <c r="J41" i="32"/>
  <c r="J24" i="32" s="1"/>
  <c r="T33" i="35"/>
  <c r="T10" i="35" s="1"/>
  <c r="H33" i="35"/>
  <c r="H10" i="35" s="1"/>
  <c r="AN61" i="32"/>
  <c r="AT91" i="32"/>
  <c r="AT26" i="32" s="1"/>
  <c r="V14" i="42"/>
  <c r="V17" i="42" s="1"/>
  <c r="Z14" i="42"/>
  <c r="Z17" i="42" s="1"/>
  <c r="AD14" i="42"/>
  <c r="AD17" i="42" s="1"/>
  <c r="AH14" i="42"/>
  <c r="AH17" i="42" s="1"/>
  <c r="H14" i="26"/>
  <c r="H17" i="26" s="1"/>
  <c r="L14" i="26"/>
  <c r="L17" i="26" s="1"/>
  <c r="P14" i="26"/>
  <c r="P17" i="26" s="1"/>
  <c r="AF14" i="26"/>
  <c r="AF17" i="26" s="1"/>
  <c r="AH85" i="32"/>
  <c r="AH91" i="32" s="1"/>
  <c r="AH26" i="32" s="1"/>
  <c r="AH6" i="32"/>
  <c r="Y85" i="32"/>
  <c r="Y6" i="32"/>
  <c r="O53" i="32"/>
  <c r="O6" i="32"/>
  <c r="AD29" i="28"/>
  <c r="AD21" i="51"/>
  <c r="AD19" i="51" s="1"/>
  <c r="N23" i="51"/>
  <c r="AB85" i="32"/>
  <c r="AB91" i="32" s="1"/>
  <c r="AB26" i="32" s="1"/>
  <c r="AB6" i="32"/>
  <c r="S85" i="32"/>
  <c r="S6" i="32"/>
  <c r="G85" i="32"/>
  <c r="G91" i="32" s="1"/>
  <c r="G26" i="32" s="1"/>
  <c r="G6" i="32"/>
  <c r="V85" i="32"/>
  <c r="V91" i="32" s="1"/>
  <c r="V26" i="32" s="1"/>
  <c r="V6" i="32"/>
  <c r="C19" i="35"/>
  <c r="C9" i="35" s="1"/>
  <c r="C6" i="35"/>
  <c r="C8" i="35" s="1"/>
  <c r="AR23" i="35"/>
  <c r="AR33" i="35" s="1"/>
  <c r="AR10" i="35" s="1"/>
  <c r="AR6" i="35"/>
  <c r="AR8" i="35" s="1"/>
  <c r="E5" i="32"/>
  <c r="E15" i="24"/>
  <c r="AI23" i="51"/>
  <c r="AL24" i="51"/>
  <c r="AE23" i="51"/>
  <c r="T19" i="51"/>
  <c r="T24" i="51" s="1"/>
  <c r="T26" i="51"/>
  <c r="O19" i="51"/>
  <c r="O26" i="51"/>
  <c r="M27" i="51"/>
  <c r="J26" i="51"/>
  <c r="E19" i="51"/>
  <c r="E26" i="51"/>
  <c r="H27" i="51"/>
  <c r="K19" i="51"/>
  <c r="N27" i="51"/>
  <c r="K26" i="51"/>
  <c r="AM91" i="32"/>
  <c r="AM26" i="32" s="1"/>
  <c r="W61" i="32"/>
  <c r="C73" i="32"/>
  <c r="C25" i="32" s="1"/>
  <c r="M6" i="32"/>
  <c r="J73" i="32"/>
  <c r="J25" i="32" s="1"/>
  <c r="D45" i="32"/>
  <c r="D60" i="32" s="1"/>
  <c r="AM60" i="32"/>
  <c r="L41" i="32"/>
  <c r="L24" i="32" s="1"/>
  <c r="AL17" i="24"/>
  <c r="AH17" i="24"/>
  <c r="AD17" i="24"/>
  <c r="Z17" i="24"/>
  <c r="V17" i="24"/>
  <c r="R17" i="24"/>
  <c r="N17" i="24"/>
  <c r="J17" i="24"/>
  <c r="AI33" i="35"/>
  <c r="AI10" i="35" s="1"/>
  <c r="F33" i="35"/>
  <c r="F10" i="35" s="1"/>
  <c r="E6" i="35"/>
  <c r="E8" i="35" s="1"/>
  <c r="AO5" i="26"/>
  <c r="S14" i="26"/>
  <c r="S17" i="26" s="1"/>
  <c r="AA14" i="26"/>
  <c r="AA17" i="26" s="1"/>
  <c r="AI14" i="26"/>
  <c r="AI17" i="26" s="1"/>
  <c r="AQ18" i="52"/>
  <c r="AO11" i="52"/>
  <c r="AO17" i="52"/>
  <c r="AR18" i="52"/>
  <c r="AP18" i="52"/>
  <c r="AR13" i="32"/>
  <c r="AI5" i="32"/>
  <c r="AI15" i="24"/>
  <c r="AL23" i="51"/>
  <c r="AO24" i="51"/>
  <c r="AH29" i="28"/>
  <c r="AH21" i="51"/>
  <c r="AH19" i="51" s="1"/>
  <c r="AI24" i="51" s="1"/>
  <c r="S19" i="51"/>
  <c r="V27" i="51"/>
  <c r="S26" i="51"/>
  <c r="M26" i="51"/>
  <c r="I19" i="51"/>
  <c r="L27" i="51"/>
  <c r="I26" i="51"/>
  <c r="D19" i="51"/>
  <c r="G27" i="51"/>
  <c r="D26" i="51"/>
  <c r="Y26" i="51"/>
  <c r="AB27" i="51"/>
  <c r="AB23" i="29"/>
  <c r="AB27" i="29" s="1"/>
  <c r="AB17" i="30"/>
  <c r="N91" i="32"/>
  <c r="N26" i="32" s="1"/>
  <c r="K91" i="32"/>
  <c r="K26" i="32" s="1"/>
  <c r="E73" i="32"/>
  <c r="E25" i="32" s="1"/>
  <c r="R60" i="32"/>
  <c r="AI60" i="32"/>
  <c r="AI73" i="32" s="1"/>
  <c r="AI25" i="32" s="1"/>
  <c r="AC60" i="32"/>
  <c r="G41" i="32"/>
  <c r="G24" i="32" s="1"/>
  <c r="AE20" i="32"/>
  <c r="O20" i="32"/>
  <c r="K20" i="32"/>
  <c r="S10" i="32"/>
  <c r="C10" i="32"/>
  <c r="AK17" i="24"/>
  <c r="AG17" i="24"/>
  <c r="AC17" i="24"/>
  <c r="Y17" i="24"/>
  <c r="U17" i="24"/>
  <c r="Q17" i="24"/>
  <c r="M17" i="24"/>
  <c r="I17" i="24"/>
  <c r="X6" i="35"/>
  <c r="X8" i="35" s="1"/>
  <c r="O33" i="35"/>
  <c r="O10" i="35" s="1"/>
  <c r="J5" i="32"/>
  <c r="J13" i="32" s="1"/>
  <c r="J15" i="24"/>
  <c r="I5" i="32"/>
  <c r="I15" i="24"/>
  <c r="Q18" i="25"/>
  <c r="N12" i="25"/>
  <c r="T12" i="25"/>
  <c r="AE18" i="25"/>
  <c r="AE24" i="25" s="1"/>
  <c r="AE9" i="24" s="1"/>
  <c r="AN24" i="51"/>
  <c r="AK23" i="51"/>
  <c r="AJ24" i="51"/>
  <c r="AG23" i="51"/>
  <c r="V19" i="51"/>
  <c r="V26" i="51"/>
  <c r="R19" i="51"/>
  <c r="R26" i="51"/>
  <c r="U27" i="51"/>
  <c r="T27" i="51"/>
  <c r="L19" i="51"/>
  <c r="O27" i="51"/>
  <c r="L26" i="51"/>
  <c r="H19" i="51"/>
  <c r="K27" i="51"/>
  <c r="H26" i="51"/>
  <c r="C19" i="51"/>
  <c r="P18" i="28"/>
  <c r="P20" i="51" s="1"/>
  <c r="E85" i="32"/>
  <c r="E91" i="32" s="1"/>
  <c r="E26" i="32" s="1"/>
  <c r="Z91" i="32"/>
  <c r="Z26" i="32" s="1"/>
  <c r="AH20" i="32"/>
  <c r="AH14" i="32" s="1"/>
  <c r="O15" i="32"/>
  <c r="O14" i="32" s="1"/>
  <c r="K15" i="32"/>
  <c r="G15" i="32"/>
  <c r="C15" i="32"/>
  <c r="AJ17" i="24"/>
  <c r="AF17" i="24"/>
  <c r="AB17" i="24"/>
  <c r="X17" i="24"/>
  <c r="T17" i="24"/>
  <c r="P17" i="24"/>
  <c r="L17" i="24"/>
  <c r="H17" i="24"/>
  <c r="AN17" i="24"/>
  <c r="AQ41" i="32"/>
  <c r="AT10" i="32"/>
  <c r="AM21" i="52"/>
  <c r="AO21" i="52"/>
  <c r="AL21" i="52"/>
  <c r="AL20" i="52"/>
  <c r="AN21" i="52"/>
  <c r="AL5" i="26"/>
  <c r="AL14" i="26" s="1"/>
  <c r="AL17" i="26" s="1"/>
  <c r="AS73" i="32"/>
  <c r="AS25" i="32" s="1"/>
  <c r="U5" i="32"/>
  <c r="U13" i="32" s="1"/>
  <c r="U15" i="24"/>
  <c r="I18" i="25"/>
  <c r="I24" i="25" s="1"/>
  <c r="E12" i="25"/>
  <c r="AJ23" i="51"/>
  <c r="AM24" i="51"/>
  <c r="AF23" i="51"/>
  <c r="Q23" i="51"/>
  <c r="U19" i="51"/>
  <c r="U26" i="51"/>
  <c r="G19" i="51"/>
  <c r="J27" i="51"/>
  <c r="G26" i="51"/>
  <c r="I27" i="51"/>
  <c r="X18" i="28"/>
  <c r="X20" i="51" s="1"/>
  <c r="F61" i="32"/>
  <c r="F73" i="32" s="1"/>
  <c r="F25" i="32" s="1"/>
  <c r="AF20" i="32"/>
  <c r="AF14" i="32" s="1"/>
  <c r="L20" i="32"/>
  <c r="L14" i="32" s="1"/>
  <c r="L23" i="32" s="1"/>
  <c r="AG20" i="32"/>
  <c r="Y20" i="32"/>
  <c r="D15" i="32"/>
  <c r="M10" i="32"/>
  <c r="AM17" i="24"/>
  <c r="AI17" i="24"/>
  <c r="AE17" i="24"/>
  <c r="AA17" i="24"/>
  <c r="W17" i="24"/>
  <c r="S17" i="24"/>
  <c r="O17" i="24"/>
  <c r="K17" i="24"/>
  <c r="G17" i="24"/>
  <c r="W18" i="25"/>
  <c r="AK18" i="25"/>
  <c r="AP21" i="52"/>
  <c r="AR21" i="52"/>
  <c r="AO20" i="52"/>
  <c r="AQ21" i="52"/>
  <c r="AL11" i="52"/>
  <c r="AL17" i="52"/>
  <c r="AN18" i="52"/>
  <c r="AO18" i="52"/>
  <c r="AL18" i="52"/>
  <c r="AM18" i="52"/>
  <c r="I27" i="29"/>
  <c r="E27" i="29"/>
  <c r="AP17" i="41"/>
  <c r="AO14" i="26"/>
  <c r="AO17" i="26" s="1"/>
  <c r="Y35" i="24"/>
  <c r="AP10" i="24"/>
  <c r="I14" i="42"/>
  <c r="I17" i="42" s="1"/>
  <c r="Q14" i="42"/>
  <c r="Q17" i="42" s="1"/>
  <c r="U29" i="28"/>
  <c r="AP29" i="28"/>
  <c r="AK29" i="28"/>
  <c r="AG29" i="28"/>
  <c r="C29" i="28"/>
  <c r="D33" i="30"/>
  <c r="AE28" i="30"/>
  <c r="AE33" i="30" s="1"/>
  <c r="X33" i="30"/>
  <c r="T33" i="30"/>
  <c r="L33" i="30"/>
  <c r="H33" i="30"/>
  <c r="AJ33" i="30"/>
  <c r="S33" i="30"/>
  <c r="K33" i="30"/>
  <c r="AL33" i="30"/>
  <c r="Y33" i="30"/>
  <c r="I33" i="30"/>
  <c r="E33" i="30"/>
  <c r="O33" i="30"/>
  <c r="G33" i="30"/>
  <c r="C33" i="30"/>
  <c r="R33" i="30"/>
  <c r="G18" i="25"/>
  <c r="G6" i="24" s="1"/>
  <c r="AO12" i="25"/>
  <c r="AO18" i="25" s="1"/>
  <c r="AO6" i="24" s="1"/>
  <c r="AO35" i="24" s="1"/>
  <c r="AC18" i="25"/>
  <c r="AC24" i="25" s="1"/>
  <c r="AC26" i="25" s="1"/>
  <c r="AC27" i="25" s="1"/>
  <c r="AC10" i="24" s="1"/>
  <c r="AM29" i="28"/>
  <c r="D29" i="28"/>
  <c r="V29" i="28"/>
  <c r="Z27" i="28"/>
  <c r="F29" i="28"/>
  <c r="Q27" i="29"/>
  <c r="AO23" i="29"/>
  <c r="AO27" i="29" s="1"/>
  <c r="W23" i="29"/>
  <c r="W27" i="29" s="1"/>
  <c r="AN23" i="29"/>
  <c r="AN27" i="29" s="1"/>
  <c r="T85" i="32"/>
  <c r="T91" i="32" s="1"/>
  <c r="T26" i="32" s="1"/>
  <c r="AM73" i="32"/>
  <c r="AM25" i="32" s="1"/>
  <c r="AD45" i="32"/>
  <c r="AD6" i="32"/>
  <c r="AD15" i="24" s="1"/>
  <c r="AD10" i="32"/>
  <c r="D85" i="32"/>
  <c r="D91" i="32" s="1"/>
  <c r="D26" i="32" s="1"/>
  <c r="G6" i="35"/>
  <c r="G8" i="35" s="1"/>
  <c r="R6" i="32"/>
  <c r="X15" i="32"/>
  <c r="AK15" i="32"/>
  <c r="AK14" i="32" s="1"/>
  <c r="AG23" i="35"/>
  <c r="AG33" i="35" s="1"/>
  <c r="AG10" i="35" s="1"/>
  <c r="AG6" i="35"/>
  <c r="AG8" i="35" s="1"/>
  <c r="K73" i="32"/>
  <c r="K25" i="32" s="1"/>
  <c r="AC17" i="32"/>
  <c r="AC68" i="32"/>
  <c r="AC61" i="32" s="1"/>
  <c r="AC73" i="32" s="1"/>
  <c r="AC25" i="32" s="1"/>
  <c r="H45" i="32"/>
  <c r="H60" i="32" s="1"/>
  <c r="H73" i="32" s="1"/>
  <c r="H25" i="32" s="1"/>
  <c r="H6" i="32"/>
  <c r="AJ45" i="32"/>
  <c r="AJ60" i="32" s="1"/>
  <c r="AJ73" i="32" s="1"/>
  <c r="AJ25" i="32" s="1"/>
  <c r="AJ6" i="32"/>
  <c r="AJ15" i="24" s="1"/>
  <c r="Q28" i="35"/>
  <c r="Q33" i="35" s="1"/>
  <c r="Q10" i="35" s="1"/>
  <c r="Q6" i="35"/>
  <c r="Q8" i="35" s="1"/>
  <c r="C85" i="32"/>
  <c r="C91" i="32" s="1"/>
  <c r="C26" i="32" s="1"/>
  <c r="AD60" i="32"/>
  <c r="AD73" i="32" s="1"/>
  <c r="AD25" i="32" s="1"/>
  <c r="AA23" i="29"/>
  <c r="AA27" i="29" s="1"/>
  <c r="S23" i="29"/>
  <c r="S27" i="29" s="1"/>
  <c r="AG6" i="32"/>
  <c r="AG15" i="24" s="1"/>
  <c r="U20" i="32"/>
  <c r="AI15" i="32"/>
  <c r="P15" i="32"/>
  <c r="P14" i="32" s="1"/>
  <c r="Y29" i="41"/>
  <c r="Y17" i="41"/>
  <c r="AR73" i="32"/>
  <c r="AR25" i="32" s="1"/>
  <c r="F6" i="35"/>
  <c r="F8" i="35" s="1"/>
  <c r="AM15" i="32"/>
  <c r="AP6" i="35"/>
  <c r="AP8" i="35" s="1"/>
  <c r="R10" i="32"/>
  <c r="Y15" i="32"/>
  <c r="Y14" i="32" s="1"/>
  <c r="AB15" i="32"/>
  <c r="Z6" i="32"/>
  <c r="Z15" i="24" s="1"/>
  <c r="AL6" i="32"/>
  <c r="AL15" i="24" s="1"/>
  <c r="AK13" i="32"/>
  <c r="M45" i="32"/>
  <c r="M60" i="32" s="1"/>
  <c r="M73" i="32" s="1"/>
  <c r="M25" i="32" s="1"/>
  <c r="X28" i="35"/>
  <c r="X33" i="35" s="1"/>
  <c r="X10" i="35" s="1"/>
  <c r="AI41" i="24"/>
  <c r="AI42" i="24" s="1"/>
  <c r="AC17" i="41"/>
  <c r="P18" i="25"/>
  <c r="P24" i="25" s="1"/>
  <c r="P26" i="25" s="1"/>
  <c r="P27" i="25" s="1"/>
  <c r="P10" i="24" s="1"/>
  <c r="Y27" i="28"/>
  <c r="Y21" i="51" s="1"/>
  <c r="Y19" i="51" s="1"/>
  <c r="N29" i="28"/>
  <c r="J27" i="28"/>
  <c r="J21" i="51" s="1"/>
  <c r="J19" i="51" s="1"/>
  <c r="Z23" i="29"/>
  <c r="Z27" i="29" s="1"/>
  <c r="AA28" i="30"/>
  <c r="AA33" i="30" s="1"/>
  <c r="W33" i="30"/>
  <c r="AF53" i="32"/>
  <c r="AF60" i="32" s="1"/>
  <c r="AF73" i="32" s="1"/>
  <c r="AF25" i="32" s="1"/>
  <c r="AF6" i="32"/>
  <c r="AF15" i="24" s="1"/>
  <c r="AM37" i="32"/>
  <c r="AM41" i="32" s="1"/>
  <c r="AM24" i="32" s="1"/>
  <c r="AM6" i="32"/>
  <c r="AM15" i="24" s="1"/>
  <c r="AC37" i="32"/>
  <c r="AC41" i="32" s="1"/>
  <c r="AC24" i="32" s="1"/>
  <c r="AC6" i="32"/>
  <c r="AC15" i="24" s="1"/>
  <c r="W37" i="32"/>
  <c r="W41" i="32" s="1"/>
  <c r="W24" i="32" s="1"/>
  <c r="W6" i="32"/>
  <c r="S41" i="32"/>
  <c r="S24" i="32" s="1"/>
  <c r="O41" i="32"/>
  <c r="O24" i="32" s="1"/>
  <c r="AB20" i="32"/>
  <c r="X20" i="32"/>
  <c r="AB41" i="35"/>
  <c r="AB11" i="35" s="1"/>
  <c r="AB6" i="35"/>
  <c r="AB8" i="35" s="1"/>
  <c r="K27" i="29"/>
  <c r="AD41" i="24"/>
  <c r="AD42" i="24" s="1"/>
  <c r="W60" i="32"/>
  <c r="W73" i="32" s="1"/>
  <c r="W25" i="32" s="1"/>
  <c r="AH10" i="32"/>
  <c r="F27" i="29"/>
  <c r="F6" i="32"/>
  <c r="X41" i="32"/>
  <c r="X24" i="32" s="1"/>
  <c r="AE15" i="32"/>
  <c r="T15" i="32"/>
  <c r="T14" i="32" s="1"/>
  <c r="H15" i="32"/>
  <c r="H14" i="32" s="1"/>
  <c r="AG15" i="32"/>
  <c r="AG14" i="32" s="1"/>
  <c r="U14" i="32"/>
  <c r="AE28" i="35"/>
  <c r="AE33" i="35" s="1"/>
  <c r="AE10" i="35" s="1"/>
  <c r="AE6" i="35"/>
  <c r="AE8" i="35" s="1"/>
  <c r="AH23" i="35"/>
  <c r="AH33" i="35" s="1"/>
  <c r="AH10" i="35" s="1"/>
  <c r="AH6" i="35"/>
  <c r="AH8" i="35" s="1"/>
  <c r="W23" i="35"/>
  <c r="W33" i="35" s="1"/>
  <c r="W10" i="35" s="1"/>
  <c r="W6" i="35"/>
  <c r="W8" i="35" s="1"/>
  <c r="AK29" i="41"/>
  <c r="AK54" i="41" s="1"/>
  <c r="AK53" i="41" s="1"/>
  <c r="AK21" i="24" s="1"/>
  <c r="AK17" i="41"/>
  <c r="P6" i="32"/>
  <c r="K6" i="32"/>
  <c r="D6" i="35"/>
  <c r="D8" i="35" s="1"/>
  <c r="AL14" i="32"/>
  <c r="Y41" i="24"/>
  <c r="Y42" i="24" s="1"/>
  <c r="AG17" i="41"/>
  <c r="L6" i="35"/>
  <c r="L8" i="35" s="1"/>
  <c r="T6" i="35"/>
  <c r="T8" i="35" s="1"/>
  <c r="I6" i="35"/>
  <c r="I8" i="35" s="1"/>
  <c r="AA73" i="32"/>
  <c r="AA25" i="32" s="1"/>
  <c r="X6" i="32"/>
  <c r="O12" i="25"/>
  <c r="O18" i="25" s="1"/>
  <c r="O24" i="25" s="1"/>
  <c r="J27" i="29"/>
  <c r="Z33" i="30"/>
  <c r="T61" i="32"/>
  <c r="T73" i="32" s="1"/>
  <c r="T25" i="32" s="1"/>
  <c r="L61" i="32"/>
  <c r="L73" i="32" s="1"/>
  <c r="L25" i="32" s="1"/>
  <c r="D37" i="32"/>
  <c r="D41" i="32" s="1"/>
  <c r="D24" i="32" s="1"/>
  <c r="D6" i="32"/>
  <c r="AE41" i="32"/>
  <c r="AE24" i="32" s="1"/>
  <c r="AB41" i="32"/>
  <c r="AB24" i="32" s="1"/>
  <c r="AI10" i="32"/>
  <c r="AI13" i="32" s="1"/>
  <c r="AA10" i="32"/>
  <c r="W10" i="32"/>
  <c r="O10" i="32"/>
  <c r="V12" i="25"/>
  <c r="V18" i="25" s="1"/>
  <c r="K12" i="25"/>
  <c r="F18" i="25"/>
  <c r="F24" i="25" s="1"/>
  <c r="AB27" i="28"/>
  <c r="T29" i="28"/>
  <c r="M27" i="29"/>
  <c r="V23" i="29"/>
  <c r="V27" i="29" s="1"/>
  <c r="R23" i="29"/>
  <c r="R27" i="29" s="1"/>
  <c r="U33" i="30"/>
  <c r="AA91" i="32"/>
  <c r="AA26" i="32" s="1"/>
  <c r="AL91" i="32"/>
  <c r="AL26" i="32" s="1"/>
  <c r="AI91" i="32"/>
  <c r="AI26" i="32" s="1"/>
  <c r="V60" i="32"/>
  <c r="V73" i="32" s="1"/>
  <c r="V25" i="32" s="1"/>
  <c r="G60" i="32"/>
  <c r="G73" i="32" s="1"/>
  <c r="G25" i="32" s="1"/>
  <c r="N73" i="32"/>
  <c r="N25" i="32" s="1"/>
  <c r="C41" i="32"/>
  <c r="C24" i="32" s="1"/>
  <c r="AJ29" i="28"/>
  <c r="P27" i="29"/>
  <c r="L27" i="29"/>
  <c r="D27" i="29"/>
  <c r="U23" i="29"/>
  <c r="U27" i="29" s="1"/>
  <c r="N27" i="29"/>
  <c r="AK33" i="30"/>
  <c r="Q33" i="30"/>
  <c r="F33" i="30"/>
  <c r="AF33" i="30"/>
  <c r="P33" i="30"/>
  <c r="S91" i="32"/>
  <c r="S26" i="32" s="1"/>
  <c r="AE60" i="32"/>
  <c r="AE73" i="32" s="1"/>
  <c r="AE25" i="32" s="1"/>
  <c r="AF41" i="32"/>
  <c r="AF24" i="32" s="1"/>
  <c r="Q20" i="32"/>
  <c r="Q14" i="32" s="1"/>
  <c r="R20" i="32"/>
  <c r="R14" i="32" s="1"/>
  <c r="E10" i="32"/>
  <c r="E13" i="32" s="1"/>
  <c r="AS85" i="32"/>
  <c r="AS91" i="32" s="1"/>
  <c r="AS26" i="32" s="1"/>
  <c r="AS6" i="32"/>
  <c r="AD91" i="32"/>
  <c r="AD26" i="32" s="1"/>
  <c r="Y91" i="32"/>
  <c r="Y26" i="32" s="1"/>
  <c r="Q77" i="32"/>
  <c r="W91" i="32"/>
  <c r="W26" i="32" s="1"/>
  <c r="AK61" i="32"/>
  <c r="AK73" i="32" s="1"/>
  <c r="AK25" i="32" s="1"/>
  <c r="R61" i="32"/>
  <c r="S60" i="32"/>
  <c r="AI20" i="32"/>
  <c r="AA20" i="32"/>
  <c r="AA14" i="32" s="1"/>
  <c r="D20" i="32"/>
  <c r="S20" i="32"/>
  <c r="S14" i="32" s="1"/>
  <c r="I10" i="32"/>
  <c r="I13" i="32" s="1"/>
  <c r="I23" i="32" s="1"/>
  <c r="AC10" i="32"/>
  <c r="AD33" i="35"/>
  <c r="AD10" i="35" s="1"/>
  <c r="L33" i="35"/>
  <c r="L10" i="35" s="1"/>
  <c r="AN15" i="32"/>
  <c r="AN14" i="32" s="1"/>
  <c r="L91" i="32"/>
  <c r="L26" i="32" s="1"/>
  <c r="I91" i="32"/>
  <c r="I26" i="32" s="1"/>
  <c r="O91" i="32"/>
  <c r="O26" i="32" s="1"/>
  <c r="U61" i="32"/>
  <c r="U73" i="32" s="1"/>
  <c r="U25" i="32" s="1"/>
  <c r="T41" i="32"/>
  <c r="T24" i="32" s="1"/>
  <c r="P41" i="32"/>
  <c r="P24" i="32" s="1"/>
  <c r="G20" i="32"/>
  <c r="C20" i="32"/>
  <c r="C14" i="32" s="1"/>
  <c r="AJ20" i="32"/>
  <c r="AJ14" i="32" s="1"/>
  <c r="E20" i="32"/>
  <c r="E14" i="32" s="1"/>
  <c r="AL10" i="32"/>
  <c r="AE10" i="32"/>
  <c r="E14" i="42"/>
  <c r="E17" i="42" s="1"/>
  <c r="C14" i="26"/>
  <c r="C17" i="26" s="1"/>
  <c r="O14" i="26"/>
  <c r="O17" i="26" s="1"/>
  <c r="AJ33" i="35"/>
  <c r="AJ10" i="35" s="1"/>
  <c r="AN41" i="32"/>
  <c r="AN24" i="32" s="1"/>
  <c r="AN6" i="35"/>
  <c r="AN8" i="35" s="1"/>
  <c r="AO20" i="32"/>
  <c r="AO60" i="32"/>
  <c r="AO73" i="32" s="1"/>
  <c r="AO91" i="32"/>
  <c r="AQ20" i="32"/>
  <c r="AQ14" i="32" s="1"/>
  <c r="AQ23" i="32" s="1"/>
  <c r="AQ61" i="32"/>
  <c r="AQ73" i="32" s="1"/>
  <c r="AR20" i="32"/>
  <c r="AR14" i="32" s="1"/>
  <c r="AR23" i="32" s="1"/>
  <c r="AS41" i="32"/>
  <c r="AS24" i="32" s="1"/>
  <c r="AT15" i="32"/>
  <c r="AT14" i="32" s="1"/>
  <c r="M14" i="42"/>
  <c r="M17" i="42" s="1"/>
  <c r="U14" i="42"/>
  <c r="U17" i="42" s="1"/>
  <c r="AC14" i="42"/>
  <c r="AC17" i="42" s="1"/>
  <c r="AK14" i="42"/>
  <c r="AK17" i="42" s="1"/>
  <c r="AP17" i="42"/>
  <c r="G14" i="26"/>
  <c r="G17" i="26" s="1"/>
  <c r="AM14" i="26"/>
  <c r="AM17" i="26" s="1"/>
  <c r="E14" i="26"/>
  <c r="E17" i="26" s="1"/>
  <c r="M14" i="26"/>
  <c r="M17" i="26" s="1"/>
  <c r="G33" i="35"/>
  <c r="G10" i="35" s="1"/>
  <c r="AS24" i="35"/>
  <c r="AS6" i="35" s="1"/>
  <c r="AS8" i="35" s="1"/>
  <c r="AT60" i="32"/>
  <c r="AT73" i="32" s="1"/>
  <c r="AT25" i="32" s="1"/>
  <c r="AL5" i="42"/>
  <c r="AL14" i="42" s="1"/>
  <c r="AL17" i="42" s="1"/>
  <c r="W14" i="26"/>
  <c r="W17" i="26" s="1"/>
  <c r="AB14" i="26"/>
  <c r="AB17" i="26" s="1"/>
  <c r="AE14" i="26"/>
  <c r="AE17" i="26" s="1"/>
  <c r="AJ14" i="26"/>
  <c r="AJ17" i="26" s="1"/>
  <c r="Y24" i="25"/>
  <c r="AN18" i="25"/>
  <c r="AJ18" i="25"/>
  <c r="E18" i="25"/>
  <c r="AC27" i="28"/>
  <c r="M27" i="28"/>
  <c r="X29" i="28"/>
  <c r="R29" i="28"/>
  <c r="L29" i="28"/>
  <c r="H29" i="28"/>
  <c r="H27" i="29"/>
  <c r="X23" i="29"/>
  <c r="X27" i="29" s="1"/>
  <c r="T23" i="29"/>
  <c r="T27" i="29" s="1"/>
  <c r="O60" i="32"/>
  <c r="O73" i="32" s="1"/>
  <c r="O25" i="32" s="1"/>
  <c r="K29" i="28"/>
  <c r="G29" i="28"/>
  <c r="AA18" i="25"/>
  <c r="AA24" i="25" s="1"/>
  <c r="M12" i="25"/>
  <c r="M18" i="25" s="1"/>
  <c r="H18" i="25"/>
  <c r="H6" i="24" s="1"/>
  <c r="S12" i="25"/>
  <c r="S18" i="25" s="1"/>
  <c r="S6" i="24" s="1"/>
  <c r="L12" i="25"/>
  <c r="L18" i="25" s="1"/>
  <c r="AM18" i="25"/>
  <c r="AM24" i="25" s="1"/>
  <c r="AI18" i="25"/>
  <c r="AI29" i="28"/>
  <c r="AE29" i="28"/>
  <c r="AA27" i="28"/>
  <c r="O29" i="28"/>
  <c r="E29" i="28"/>
  <c r="O27" i="29"/>
  <c r="R12" i="25"/>
  <c r="R18" i="25" s="1"/>
  <c r="Z18" i="25"/>
  <c r="Z24" i="25" s="1"/>
  <c r="Z9" i="24" s="1"/>
  <c r="AN29" i="28"/>
  <c r="AF29" i="28"/>
  <c r="I29" i="28"/>
  <c r="Y23" i="29"/>
  <c r="Y27" i="29" s="1"/>
  <c r="AL60" i="32"/>
  <c r="AL73" i="32" s="1"/>
  <c r="AL25" i="32" s="1"/>
  <c r="AI41" i="32"/>
  <c r="AI24" i="32" s="1"/>
  <c r="U41" i="32"/>
  <c r="U24" i="32" s="1"/>
  <c r="I33" i="35"/>
  <c r="I10" i="35" s="1"/>
  <c r="AN60" i="32"/>
  <c r="AN73" i="32" s="1"/>
  <c r="AN25" i="32" s="1"/>
  <c r="AP41" i="32"/>
  <c r="AO14" i="32"/>
  <c r="AO23" i="32" s="1"/>
  <c r="D61" i="32"/>
  <c r="AM20" i="32"/>
  <c r="AM14" i="32" s="1"/>
  <c r="AT33" i="35"/>
  <c r="AT10" i="35" s="1"/>
  <c r="AO33" i="35"/>
  <c r="AO10" i="35" s="1"/>
  <c r="X12" i="25"/>
  <c r="X18" i="25" s="1"/>
  <c r="X6" i="24" s="1"/>
  <c r="AB12" i="25"/>
  <c r="AB18" i="25" s="1"/>
  <c r="AB6" i="24" s="1"/>
  <c r="AB35" i="24" s="1"/>
  <c r="AD12" i="25"/>
  <c r="AH12" i="25"/>
  <c r="AH18" i="25" s="1"/>
  <c r="AH6" i="24" s="1"/>
  <c r="AH35" i="24" s="1"/>
  <c r="AL12" i="25"/>
  <c r="AL18" i="25" s="1"/>
  <c r="AL6" i="24" s="1"/>
  <c r="AL35" i="24" s="1"/>
  <c r="AT6" i="35"/>
  <c r="AT8" i="35" s="1"/>
  <c r="AT6" i="32"/>
  <c r="O6" i="24"/>
  <c r="O35" i="24" s="1"/>
  <c r="AK6" i="24"/>
  <c r="AK35" i="24" s="1"/>
  <c r="AK24" i="25"/>
  <c r="W6" i="24"/>
  <c r="W24" i="25"/>
  <c r="W26" i="25" s="1"/>
  <c r="W27" i="25" s="1"/>
  <c r="W10" i="24" s="1"/>
  <c r="AB24" i="25"/>
  <c r="P9" i="24"/>
  <c r="G24" i="25"/>
  <c r="T18" i="25"/>
  <c r="X24" i="25"/>
  <c r="U18" i="25"/>
  <c r="AF26" i="25"/>
  <c r="AF27" i="25" s="1"/>
  <c r="AF10" i="24" s="1"/>
  <c r="AF9" i="24"/>
  <c r="P6" i="24"/>
  <c r="P35" i="24" s="1"/>
  <c r="AG24" i="25"/>
  <c r="AG6" i="24"/>
  <c r="AG35" i="24" s="1"/>
  <c r="AJ24" i="25"/>
  <c r="AJ6" i="24"/>
  <c r="AJ35" i="24" s="1"/>
  <c r="Q6" i="24"/>
  <c r="Q35" i="24" s="1"/>
  <c r="Q24" i="25"/>
  <c r="I6" i="24"/>
  <c r="I35" i="24" s="1"/>
  <c r="G35" i="24"/>
  <c r="G36" i="24"/>
  <c r="K18" i="25"/>
  <c r="AF6" i="24"/>
  <c r="AF35" i="24" s="1"/>
  <c r="L24" i="25"/>
  <c r="L6" i="24"/>
  <c r="L35" i="24" s="1"/>
  <c r="F6" i="24"/>
  <c r="F35" i="24" s="1"/>
  <c r="D24" i="25"/>
  <c r="D9" i="24" s="1"/>
  <c r="D6" i="24"/>
  <c r="D35" i="24" s="1"/>
  <c r="AD18" i="25"/>
  <c r="N18" i="25"/>
  <c r="C18" i="25"/>
  <c r="W59" i="41"/>
  <c r="X53" i="41"/>
  <c r="AN17" i="41"/>
  <c r="X17" i="41"/>
  <c r="AB17" i="41"/>
  <c r="AJ17" i="41"/>
  <c r="AF17" i="41"/>
  <c r="AA58" i="41"/>
  <c r="V53" i="41"/>
  <c r="Z54" i="41"/>
  <c r="AD17" i="41"/>
  <c r="Z17" i="41"/>
  <c r="V17" i="41"/>
  <c r="Y59" i="41"/>
  <c r="AH17" i="41"/>
  <c r="AL17" i="41"/>
  <c r="AE17" i="41"/>
  <c r="W17" i="41"/>
  <c r="X59" i="41"/>
  <c r="AA17" i="41"/>
  <c r="AH54" i="41"/>
  <c r="AH53" i="41" s="1"/>
  <c r="AH21" i="24" s="1"/>
  <c r="W56" i="41"/>
  <c r="AO54" i="41"/>
  <c r="AO53" i="41" s="1"/>
  <c r="AO21" i="24" s="1"/>
  <c r="AA56" i="41"/>
  <c r="AJ54" i="41"/>
  <c r="AJ53" i="41" s="1"/>
  <c r="AJ21" i="24" s="1"/>
  <c r="AF54" i="41"/>
  <c r="AF53" i="41" s="1"/>
  <c r="AF21" i="24" s="1"/>
  <c r="AC54" i="41"/>
  <c r="AC53" i="41" s="1"/>
  <c r="AC21" i="24" s="1"/>
  <c r="AT54" i="41"/>
  <c r="AT53" i="41" s="1"/>
  <c r="AT21" i="24" s="1"/>
  <c r="Y56" i="41"/>
  <c r="AP9" i="24"/>
  <c r="P29" i="28" l="1"/>
  <c r="W27" i="51"/>
  <c r="W26" i="51"/>
  <c r="J29" i="28"/>
  <c r="W29" i="28"/>
  <c r="Y27" i="51"/>
  <c r="Z14" i="32"/>
  <c r="AN15" i="24"/>
  <c r="AN5" i="32"/>
  <c r="AN13" i="32" s="1"/>
  <c r="AN23" i="32" s="1"/>
  <c r="AA15" i="24"/>
  <c r="AA5" i="32"/>
  <c r="AA13" i="32" s="1"/>
  <c r="AA23" i="32" s="1"/>
  <c r="AE15" i="24"/>
  <c r="AE5" i="32"/>
  <c r="AE13" i="32" s="1"/>
  <c r="AS23" i="35"/>
  <c r="AS33" i="35" s="1"/>
  <c r="AS10" i="35" s="1"/>
  <c r="AC9" i="24"/>
  <c r="U23" i="32"/>
  <c r="AE14" i="32"/>
  <c r="N15" i="24"/>
  <c r="K14" i="32"/>
  <c r="G14" i="32"/>
  <c r="Z6" i="24"/>
  <c r="Z35" i="24" s="1"/>
  <c r="AE6" i="24"/>
  <c r="AE35" i="24" s="1"/>
  <c r="AD5" i="32"/>
  <c r="AD13" i="32" s="1"/>
  <c r="AD23" i="32" s="1"/>
  <c r="S73" i="32"/>
  <c r="S25" i="32" s="1"/>
  <c r="AC6" i="24"/>
  <c r="AC35" i="24" s="1"/>
  <c r="J24" i="25"/>
  <c r="P36" i="24"/>
  <c r="S24" i="25"/>
  <c r="D73" i="32"/>
  <c r="D25" i="32" s="1"/>
  <c r="D14" i="32"/>
  <c r="R73" i="32"/>
  <c r="R25" i="32" s="1"/>
  <c r="Y29" i="28"/>
  <c r="J23" i="32"/>
  <c r="D26" i="25"/>
  <c r="D27" i="25" s="1"/>
  <c r="D10" i="24" s="1"/>
  <c r="C15" i="24"/>
  <c r="C5" i="32"/>
  <c r="C13" i="32" s="1"/>
  <c r="C23" i="32" s="1"/>
  <c r="Y23" i="51"/>
  <c r="J23" i="51"/>
  <c r="X5" i="32"/>
  <c r="X13" i="32" s="1"/>
  <c r="X15" i="24"/>
  <c r="P5" i="32"/>
  <c r="P13" i="32" s="1"/>
  <c r="P23" i="32" s="1"/>
  <c r="P15" i="24"/>
  <c r="H5" i="32"/>
  <c r="H13" i="32" s="1"/>
  <c r="H23" i="32" s="1"/>
  <c r="H15" i="24"/>
  <c r="U23" i="51"/>
  <c r="P19" i="51"/>
  <c r="Q24" i="51" s="1"/>
  <c r="P26" i="51"/>
  <c r="S27" i="51"/>
  <c r="H23" i="51"/>
  <c r="K24" i="51"/>
  <c r="S23" i="51"/>
  <c r="V24" i="51"/>
  <c r="M5" i="32"/>
  <c r="M13" i="32" s="1"/>
  <c r="M23" i="32" s="1"/>
  <c r="M15" i="24"/>
  <c r="O23" i="51"/>
  <c r="V5" i="32"/>
  <c r="V13" i="32" s="1"/>
  <c r="V23" i="32" s="1"/>
  <c r="V15" i="24"/>
  <c r="S5" i="32"/>
  <c r="S13" i="32" s="1"/>
  <c r="S23" i="32" s="1"/>
  <c r="S15" i="24"/>
  <c r="O5" i="32"/>
  <c r="O13" i="32" s="1"/>
  <c r="O23" i="32" s="1"/>
  <c r="O15" i="24"/>
  <c r="D43" i="24"/>
  <c r="AB29" i="28"/>
  <c r="AB21" i="51"/>
  <c r="AB19" i="51" s="1"/>
  <c r="D5" i="32"/>
  <c r="D13" i="32" s="1"/>
  <c r="D23" i="32" s="1"/>
  <c r="D15" i="24"/>
  <c r="W5" i="32"/>
  <c r="W13" i="32" s="1"/>
  <c r="W23" i="32" s="1"/>
  <c r="W15" i="24"/>
  <c r="T5" i="32"/>
  <c r="T13" i="32" s="1"/>
  <c r="T15" i="24"/>
  <c r="Z29" i="28"/>
  <c r="Z21" i="51"/>
  <c r="Z19" i="51" s="1"/>
  <c r="X19" i="51"/>
  <c r="X26" i="51"/>
  <c r="AA27" i="51"/>
  <c r="I24" i="51"/>
  <c r="G23" i="51"/>
  <c r="J24" i="51"/>
  <c r="AK24" i="51"/>
  <c r="AH23" i="51"/>
  <c r="H24" i="51"/>
  <c r="E23" i="51"/>
  <c r="Q27" i="51"/>
  <c r="AH24" i="51"/>
  <c r="AH15" i="24"/>
  <c r="AH5" i="32"/>
  <c r="AH13" i="32" s="1"/>
  <c r="AH23" i="32" s="1"/>
  <c r="AC43" i="24"/>
  <c r="W43" i="24"/>
  <c r="AA29" i="28"/>
  <c r="AA21" i="51"/>
  <c r="AA19" i="51" s="1"/>
  <c r="M29" i="28"/>
  <c r="M21" i="51"/>
  <c r="M19" i="51" s="1"/>
  <c r="O24" i="51" s="1"/>
  <c r="AI14" i="32"/>
  <c r="AI23" i="32" s="1"/>
  <c r="V23" i="51"/>
  <c r="I23" i="51"/>
  <c r="L24" i="51"/>
  <c r="Z27" i="51"/>
  <c r="K23" i="51"/>
  <c r="R27" i="51"/>
  <c r="G5" i="32"/>
  <c r="G13" i="32" s="1"/>
  <c r="G15" i="24"/>
  <c r="AB15" i="24"/>
  <c r="AB5" i="32"/>
  <c r="AB13" i="32" s="1"/>
  <c r="AD23" i="51"/>
  <c r="AG24" i="51"/>
  <c r="Y15" i="24"/>
  <c r="Y5" i="32"/>
  <c r="Y13" i="32" s="1"/>
  <c r="Y23" i="32" s="1"/>
  <c r="AF43" i="24"/>
  <c r="AC29" i="28"/>
  <c r="AC21" i="51"/>
  <c r="AC19" i="51" s="1"/>
  <c r="K5" i="32"/>
  <c r="K13" i="32" s="1"/>
  <c r="K15" i="24"/>
  <c r="F5" i="32"/>
  <c r="F13" i="32" s="1"/>
  <c r="F23" i="32" s="1"/>
  <c r="F15" i="24"/>
  <c r="P43" i="24"/>
  <c r="AB14" i="32"/>
  <c r="R5" i="32"/>
  <c r="R13" i="32" s="1"/>
  <c r="R23" i="32" s="1"/>
  <c r="R15" i="24"/>
  <c r="AL23" i="52"/>
  <c r="AM24" i="52"/>
  <c r="AL24" i="52"/>
  <c r="AO24" i="52"/>
  <c r="AN24" i="52"/>
  <c r="X27" i="51"/>
  <c r="L23" i="51"/>
  <c r="U24" i="51"/>
  <c r="R23" i="51"/>
  <c r="G24" i="51"/>
  <c r="D23" i="51"/>
  <c r="P27" i="51"/>
  <c r="AP24" i="52"/>
  <c r="AR24" i="52"/>
  <c r="AQ24" i="52"/>
  <c r="AO23" i="52"/>
  <c r="W23" i="51"/>
  <c r="T23" i="51"/>
  <c r="W24" i="51"/>
  <c r="AP43" i="24"/>
  <c r="AO24" i="25"/>
  <c r="AO9" i="24" s="1"/>
  <c r="AM6" i="24"/>
  <c r="AM36" i="24" s="1"/>
  <c r="AP6" i="24"/>
  <c r="AP35" i="24" s="1"/>
  <c r="J36" i="24"/>
  <c r="H36" i="24"/>
  <c r="H35" i="24"/>
  <c r="X35" i="24"/>
  <c r="E23" i="32"/>
  <c r="J9" i="24"/>
  <c r="J26" i="25"/>
  <c r="J27" i="25" s="1"/>
  <c r="J10" i="24" s="1"/>
  <c r="X14" i="32"/>
  <c r="X23" i="32" s="1"/>
  <c r="AF5" i="32"/>
  <c r="AF13" i="32" s="1"/>
  <c r="AF23" i="32" s="1"/>
  <c r="AG5" i="32"/>
  <c r="AG13" i="32" s="1"/>
  <c r="AG23" i="32" s="1"/>
  <c r="AC16" i="24"/>
  <c r="AC15" i="32"/>
  <c r="AC14" i="32" s="1"/>
  <c r="AE36" i="24"/>
  <c r="AL24" i="25"/>
  <c r="AL9" i="24" s="1"/>
  <c r="I36" i="24"/>
  <c r="H24" i="25"/>
  <c r="H26" i="25" s="1"/>
  <c r="H27" i="25" s="1"/>
  <c r="H10" i="24" s="1"/>
  <c r="AS5" i="32"/>
  <c r="AS13" i="32" s="1"/>
  <c r="AS23" i="32" s="1"/>
  <c r="AM5" i="32"/>
  <c r="AM13" i="32" s="1"/>
  <c r="AM23" i="32" s="1"/>
  <c r="AL5" i="32"/>
  <c r="AL13" i="32" s="1"/>
  <c r="AL23" i="32" s="1"/>
  <c r="AJ5" i="32"/>
  <c r="AJ13" i="32" s="1"/>
  <c r="AJ23" i="32" s="1"/>
  <c r="AC5" i="32"/>
  <c r="AC13" i="32" s="1"/>
  <c r="AK23" i="32"/>
  <c r="Q85" i="32"/>
  <c r="Q91" i="32" s="1"/>
  <c r="Q26" i="32" s="1"/>
  <c r="Q6" i="32"/>
  <c r="Z5" i="32"/>
  <c r="Z13" i="32" s="1"/>
  <c r="Z23" i="32" s="1"/>
  <c r="T23" i="32"/>
  <c r="S35" i="24"/>
  <c r="S36" i="24"/>
  <c r="Y36" i="24"/>
  <c r="AA6" i="24"/>
  <c r="AB36" i="24" s="1"/>
  <c r="AH24" i="25"/>
  <c r="AI24" i="25"/>
  <c r="AI6" i="24"/>
  <c r="AL36" i="24" s="1"/>
  <c r="Y9" i="24"/>
  <c r="Y26" i="25"/>
  <c r="Y27" i="25" s="1"/>
  <c r="Y10" i="24" s="1"/>
  <c r="E6" i="24"/>
  <c r="E35" i="24" s="1"/>
  <c r="E24" i="25"/>
  <c r="AT5" i="32"/>
  <c r="AT13" i="32" s="1"/>
  <c r="AT23" i="32" s="1"/>
  <c r="AN24" i="25"/>
  <c r="AN6" i="24"/>
  <c r="AH36" i="24"/>
  <c r="H9" i="24"/>
  <c r="O36" i="24"/>
  <c r="R6" i="24"/>
  <c r="R24" i="25"/>
  <c r="AD24" i="25"/>
  <c r="AD6" i="24"/>
  <c r="AG26" i="25"/>
  <c r="AG27" i="25" s="1"/>
  <c r="AG10" i="24" s="1"/>
  <c r="AG43" i="24" s="1"/>
  <c r="AG9" i="24"/>
  <c r="U6" i="24"/>
  <c r="U35" i="24" s="1"/>
  <c r="U24" i="25"/>
  <c r="G9" i="24"/>
  <c r="G26" i="25"/>
  <c r="G27" i="25" s="1"/>
  <c r="G10" i="24" s="1"/>
  <c r="W35" i="24"/>
  <c r="X36" i="24"/>
  <c r="W36" i="24"/>
  <c r="O26" i="25"/>
  <c r="O27" i="25" s="1"/>
  <c r="O10" i="24" s="1"/>
  <c r="O9" i="24"/>
  <c r="N6" i="24"/>
  <c r="N35" i="24" s="1"/>
  <c r="N24" i="25"/>
  <c r="F9" i="24"/>
  <c r="F26" i="25"/>
  <c r="F27" i="25" s="1"/>
  <c r="F10" i="24" s="1"/>
  <c r="Q26" i="25"/>
  <c r="Q27" i="25" s="1"/>
  <c r="Q10" i="24" s="1"/>
  <c r="Q9" i="24"/>
  <c r="S26" i="25"/>
  <c r="S27" i="25" s="1"/>
  <c r="S10" i="24" s="1"/>
  <c r="S9" i="24"/>
  <c r="Q36" i="24"/>
  <c r="Z26" i="25"/>
  <c r="Z27" i="25" s="1"/>
  <c r="Z10" i="24" s="1"/>
  <c r="V24" i="25"/>
  <c r="V6" i="24"/>
  <c r="V35" i="24" s="1"/>
  <c r="AF36" i="24"/>
  <c r="I26" i="25"/>
  <c r="I27" i="25" s="1"/>
  <c r="I10" i="24" s="1"/>
  <c r="I9" i="24"/>
  <c r="T6" i="24"/>
  <c r="T24" i="25"/>
  <c r="AB9" i="24"/>
  <c r="AB26" i="25"/>
  <c r="AB27" i="25" s="1"/>
  <c r="AB10" i="24" s="1"/>
  <c r="AK26" i="25"/>
  <c r="AK27" i="25" s="1"/>
  <c r="AK10" i="24" s="1"/>
  <c r="AK9" i="24"/>
  <c r="AG36" i="24"/>
  <c r="W9" i="24"/>
  <c r="AE26" i="25"/>
  <c r="AE27" i="25" s="1"/>
  <c r="AE10" i="24" s="1"/>
  <c r="C24" i="25"/>
  <c r="C6" i="24"/>
  <c r="L26" i="25"/>
  <c r="L27" i="25" s="1"/>
  <c r="L10" i="24" s="1"/>
  <c r="L9" i="24"/>
  <c r="K24" i="25"/>
  <c r="K6" i="24"/>
  <c r="AM26" i="25"/>
  <c r="AM27" i="25" s="1"/>
  <c r="AM10" i="24" s="1"/>
  <c r="AM43" i="24" s="1"/>
  <c r="AM9" i="24"/>
  <c r="AJ26" i="25"/>
  <c r="AJ27" i="25" s="1"/>
  <c r="AJ10" i="24" s="1"/>
  <c r="AJ9" i="24"/>
  <c r="X9" i="24"/>
  <c r="X26" i="25"/>
  <c r="X27" i="25" s="1"/>
  <c r="X10" i="24" s="1"/>
  <c r="M24" i="25"/>
  <c r="M6" i="24"/>
  <c r="M35" i="24" s="1"/>
  <c r="AA26" i="25"/>
  <c r="AA27" i="25" s="1"/>
  <c r="AA10" i="24" s="1"/>
  <c r="AA9" i="24"/>
  <c r="AA54" i="41"/>
  <c r="AA53" i="41"/>
  <c r="AA21" i="24" s="1"/>
  <c r="W54" i="41"/>
  <c r="W53" i="41"/>
  <c r="Y54" i="41"/>
  <c r="Y53" i="41"/>
  <c r="Y21" i="24" s="1"/>
  <c r="Z24" i="51" l="1"/>
  <c r="K23" i="32"/>
  <c r="Y24" i="51"/>
  <c r="AE23" i="32"/>
  <c r="AL26" i="25"/>
  <c r="AL27" i="25" s="1"/>
  <c r="AL10" i="24" s="1"/>
  <c r="G23" i="32"/>
  <c r="Z36" i="24"/>
  <c r="AB23" i="32"/>
  <c r="AB43" i="24"/>
  <c r="S43" i="24"/>
  <c r="O43" i="24"/>
  <c r="G43" i="24"/>
  <c r="J34" i="24"/>
  <c r="J33" i="24"/>
  <c r="AA24" i="51"/>
  <c r="X23" i="51"/>
  <c r="X43" i="24"/>
  <c r="AA34" i="24"/>
  <c r="AA33" i="24"/>
  <c r="AE43" i="24"/>
  <c r="I43" i="24"/>
  <c r="Z43" i="24"/>
  <c r="AC33" i="24"/>
  <c r="AC34" i="24"/>
  <c r="AF24" i="51"/>
  <c r="AC23" i="51"/>
  <c r="M23" i="51"/>
  <c r="P24" i="51"/>
  <c r="Z33" i="24"/>
  <c r="Z23" i="51"/>
  <c r="AC24" i="51"/>
  <c r="P23" i="51"/>
  <c r="S24" i="51"/>
  <c r="AB24" i="51"/>
  <c r="AA43" i="24"/>
  <c r="L43" i="24"/>
  <c r="Q43" i="24"/>
  <c r="Q5" i="32"/>
  <c r="Q13" i="32" s="1"/>
  <c r="Q23" i="32" s="1"/>
  <c r="Q15" i="24"/>
  <c r="H43" i="24"/>
  <c r="Z34" i="24"/>
  <c r="F43" i="24"/>
  <c r="I33" i="24"/>
  <c r="I34" i="24"/>
  <c r="Y43" i="24"/>
  <c r="AB34" i="24"/>
  <c r="AB33" i="24"/>
  <c r="J43" i="24"/>
  <c r="N24" i="51"/>
  <c r="AA23" i="51"/>
  <c r="AD24" i="51"/>
  <c r="AB23" i="51"/>
  <c r="AE24" i="51"/>
  <c r="R24" i="51"/>
  <c r="X24" i="51"/>
  <c r="M24" i="51"/>
  <c r="AO26" i="25"/>
  <c r="AO27" i="25" s="1"/>
  <c r="AO10" i="24" s="1"/>
  <c r="AO43" i="24" s="1"/>
  <c r="AK43" i="24"/>
  <c r="AJ43" i="24"/>
  <c r="AM33" i="24"/>
  <c r="AM34" i="24"/>
  <c r="AL43" i="24"/>
  <c r="AM35" i="24"/>
  <c r="AP36" i="24"/>
  <c r="AC23" i="32"/>
  <c r="AI35" i="24"/>
  <c r="AJ36" i="24"/>
  <c r="AK36" i="24"/>
  <c r="AI36" i="24"/>
  <c r="AN35" i="24"/>
  <c r="AO36" i="24"/>
  <c r="E26" i="25"/>
  <c r="E27" i="25" s="1"/>
  <c r="E10" i="24" s="1"/>
  <c r="E9" i="24"/>
  <c r="AI9" i="24"/>
  <c r="AI26" i="25"/>
  <c r="AI27" i="25" s="1"/>
  <c r="AI10" i="24" s="1"/>
  <c r="AI43" i="24" s="1"/>
  <c r="AN36" i="24"/>
  <c r="AN26" i="25"/>
  <c r="AN27" i="25" s="1"/>
  <c r="AN10" i="24" s="1"/>
  <c r="AN43" i="24" s="1"/>
  <c r="AN9" i="24"/>
  <c r="AH9" i="24"/>
  <c r="AH26" i="25"/>
  <c r="AH27" i="25" s="1"/>
  <c r="AH10" i="24" s="1"/>
  <c r="AH43" i="24" s="1"/>
  <c r="AA35" i="24"/>
  <c r="AC36" i="24"/>
  <c r="AA36" i="24"/>
  <c r="N9" i="24"/>
  <c r="N26" i="25"/>
  <c r="N27" i="25" s="1"/>
  <c r="N10" i="24" s="1"/>
  <c r="R36" i="24"/>
  <c r="R35" i="24"/>
  <c r="K36" i="24"/>
  <c r="M36" i="24"/>
  <c r="L36" i="24"/>
  <c r="K35" i="24"/>
  <c r="N36" i="24"/>
  <c r="C36" i="24"/>
  <c r="E36" i="24"/>
  <c r="D36" i="24"/>
  <c r="F36" i="24"/>
  <c r="C35" i="24"/>
  <c r="T9" i="24"/>
  <c r="T26" i="25"/>
  <c r="T27" i="25" s="1"/>
  <c r="T10" i="24" s="1"/>
  <c r="U9" i="24"/>
  <c r="U26" i="25"/>
  <c r="U27" i="25" s="1"/>
  <c r="U10" i="24" s="1"/>
  <c r="AD35" i="24"/>
  <c r="AD36" i="24"/>
  <c r="K9" i="24"/>
  <c r="K26" i="25"/>
  <c r="K27" i="25" s="1"/>
  <c r="K10" i="24" s="1"/>
  <c r="T35" i="24"/>
  <c r="U36" i="24"/>
  <c r="T36" i="24"/>
  <c r="V36" i="24"/>
  <c r="AD9" i="24"/>
  <c r="AD26" i="25"/>
  <c r="AD27" i="25" s="1"/>
  <c r="AD10" i="24" s="1"/>
  <c r="AE34" i="24" s="1"/>
  <c r="M9" i="24"/>
  <c r="M26" i="25"/>
  <c r="M27" i="25" s="1"/>
  <c r="M10" i="24" s="1"/>
  <c r="C26" i="25"/>
  <c r="C27" i="25" s="1"/>
  <c r="C10" i="24" s="1"/>
  <c r="C43" i="24" s="1"/>
  <c r="C9" i="24"/>
  <c r="V26" i="25"/>
  <c r="V27" i="25" s="1"/>
  <c r="V10" i="24" s="1"/>
  <c r="V9" i="24"/>
  <c r="R26" i="25"/>
  <c r="R27" i="25" s="1"/>
  <c r="R10" i="24" s="1"/>
  <c r="R9" i="24"/>
  <c r="V33" i="24" l="1"/>
  <c r="T33" i="24"/>
  <c r="M43" i="24"/>
  <c r="P34" i="24"/>
  <c r="P33" i="24"/>
  <c r="K43" i="24"/>
  <c r="N34" i="24"/>
  <c r="N33" i="24"/>
  <c r="U43" i="24"/>
  <c r="X34" i="24"/>
  <c r="X33" i="24"/>
  <c r="N43" i="24"/>
  <c r="Q33" i="24"/>
  <c r="Q34" i="24"/>
  <c r="AL33" i="24"/>
  <c r="AL34" i="24"/>
  <c r="AI33" i="24"/>
  <c r="K33" i="24"/>
  <c r="O33" i="24"/>
  <c r="AD34" i="24"/>
  <c r="L34" i="24"/>
  <c r="AE33" i="24"/>
  <c r="E43" i="24"/>
  <c r="H34" i="24"/>
  <c r="H33" i="24"/>
  <c r="G34" i="24"/>
  <c r="G33" i="24"/>
  <c r="AJ34" i="24"/>
  <c r="AK34" i="24"/>
  <c r="M34" i="24"/>
  <c r="K34" i="24"/>
  <c r="O34" i="24"/>
  <c r="R43" i="24"/>
  <c r="U33" i="24"/>
  <c r="U34" i="24"/>
  <c r="V43" i="24"/>
  <c r="Y33" i="24"/>
  <c r="Y34" i="24"/>
  <c r="AD43" i="24"/>
  <c r="AG33" i="24"/>
  <c r="AG34" i="24"/>
  <c r="AF34" i="24"/>
  <c r="AF33" i="24"/>
  <c r="T43" i="24"/>
  <c r="W34" i="24"/>
  <c r="W33" i="24"/>
  <c r="AJ33" i="24"/>
  <c r="AK33" i="24"/>
  <c r="M33" i="24"/>
  <c r="T34" i="24"/>
  <c r="AH33" i="24"/>
  <c r="AI34" i="24"/>
  <c r="R33" i="24"/>
  <c r="V34" i="24"/>
  <c r="S34" i="24"/>
  <c r="AD33" i="24"/>
  <c r="L33" i="24"/>
  <c r="AH34" i="24"/>
  <c r="R34" i="24"/>
  <c r="S33" i="24"/>
  <c r="AO34" i="24"/>
  <c r="AN34" i="24"/>
  <c r="AO33" i="24"/>
  <c r="AN33" i="24"/>
  <c r="AT71" i="46" l="1"/>
  <c r="AT17" i="24" s="1"/>
  <c r="AP71" i="46" l="1"/>
  <c r="AP17" i="24" s="1"/>
  <c r="AU72" i="46"/>
  <c r="AU68" i="46"/>
  <c r="AR75" i="46"/>
  <c r="AW75" i="46"/>
  <c r="AS76" i="46"/>
  <c r="AX76" i="46"/>
  <c r="AX65" i="46"/>
  <c r="AV69" i="46"/>
  <c r="AR77" i="46"/>
  <c r="AS75" i="46"/>
  <c r="AX75" i="46"/>
  <c r="AV77" i="46"/>
  <c r="AQ76" i="46"/>
  <c r="AW76" i="46"/>
  <c r="AR69" i="46"/>
  <c r="AW70" i="46"/>
  <c r="AQ72" i="46"/>
  <c r="AP75" i="46"/>
  <c r="AV75" i="46"/>
  <c r="AP76" i="46"/>
  <c r="AU76" i="46"/>
  <c r="AX80" i="46"/>
  <c r="AX81" i="46"/>
  <c r="AX82" i="46"/>
  <c r="AX54" i="46"/>
  <c r="AS81" i="46"/>
  <c r="AU65" i="46"/>
  <c r="AX64" i="46"/>
  <c r="AS70" i="46"/>
  <c r="AX71" i="46"/>
  <c r="AX17" i="24" s="1"/>
  <c r="AT75" i="46"/>
  <c r="AT76" i="46"/>
  <c r="AW80" i="46"/>
  <c r="AW81" i="46"/>
  <c r="AW82" i="46"/>
  <c r="AX28" i="50"/>
  <c r="AT80" i="46"/>
  <c r="AQ65" i="46"/>
  <c r="AU64" i="46"/>
  <c r="AQ64" i="46"/>
  <c r="AT54" i="46"/>
  <c r="AV38" i="46"/>
  <c r="AP38" i="46"/>
  <c r="AX74" i="46"/>
  <c r="AV54" i="46"/>
  <c r="AV42" i="50"/>
  <c r="AS54" i="46"/>
  <c r="AU38" i="46"/>
  <c r="AU82" i="46"/>
  <c r="AQ82" i="46"/>
  <c r="AR81" i="46"/>
  <c r="AR80" i="46"/>
  <c r="AS79" i="46"/>
  <c r="AT65" i="46"/>
  <c r="AP65" i="46"/>
  <c r="AT64" i="46"/>
  <c r="AP64" i="46"/>
  <c r="AQ14" i="46"/>
  <c r="AW79" i="46"/>
  <c r="AW30" i="46"/>
  <c r="AW54" i="46"/>
  <c r="AW42" i="50"/>
  <c r="AW18" i="50"/>
  <c r="AW52" i="50" s="1"/>
  <c r="AR82" i="46"/>
  <c r="AT74" i="46"/>
  <c r="AW47" i="50"/>
  <c r="AS38" i="46"/>
  <c r="AV80" i="46"/>
  <c r="AS64" i="46"/>
  <c r="AX14" i="46"/>
  <c r="AX63" i="46"/>
  <c r="AR74" i="46"/>
  <c r="AV74" i="46"/>
  <c r="AP25" i="46"/>
  <c r="AT25" i="46"/>
  <c r="AV25" i="46"/>
  <c r="AX30" i="46"/>
  <c r="AX79" i="46"/>
  <c r="AX38" i="46"/>
  <c r="AP69" i="46"/>
  <c r="AT49" i="46"/>
  <c r="AX49" i="46"/>
  <c r="AR49" i="46"/>
  <c r="AV49" i="46"/>
  <c r="AU46" i="50"/>
  <c r="AT79" i="46"/>
  <c r="AR63" i="46"/>
  <c r="AR14" i="46"/>
  <c r="AQ68" i="46"/>
  <c r="AP74" i="46"/>
  <c r="AV79" i="46"/>
  <c r="AU42" i="50"/>
  <c r="AV48" i="50"/>
  <c r="AR54" i="46"/>
  <c r="AT82" i="46"/>
  <c r="AP82" i="46"/>
  <c r="AQ80" i="46"/>
  <c r="AS65" i="46"/>
  <c r="AW64" i="46"/>
  <c r="AW14" i="46"/>
  <c r="AW41" i="50"/>
  <c r="AU28" i="50"/>
  <c r="AP54" i="46"/>
  <c r="AR38" i="46"/>
  <c r="AS82" i="46"/>
  <c r="AP80" i="46"/>
  <c r="AW65" i="46"/>
  <c r="AR65" i="46"/>
  <c r="AV64" i="46"/>
  <c r="AR64" i="46"/>
  <c r="AV63" i="46"/>
  <c r="AU79" i="46"/>
  <c r="AX23" i="50"/>
  <c r="AX5" i="52" s="1"/>
  <c r="AX41" i="50"/>
  <c r="AX6" i="52"/>
  <c r="AX17" i="50"/>
  <c r="AX51" i="50" s="1"/>
  <c r="AX18" i="50"/>
  <c r="AX52" i="50" s="1"/>
  <c r="AX42" i="50"/>
  <c r="AX43" i="50"/>
  <c r="AX19" i="50"/>
  <c r="AX53" i="50" s="1"/>
  <c r="AX46" i="50"/>
  <c r="AX47" i="50"/>
  <c r="AX48" i="50"/>
  <c r="AU81" i="46"/>
  <c r="AW17" i="50"/>
  <c r="AW51" i="50" s="1"/>
  <c r="AQ38" i="46"/>
  <c r="AV81" i="46"/>
  <c r="AU47" i="50"/>
  <c r="AW6" i="52"/>
  <c r="AT38" i="46"/>
  <c r="AV82" i="46"/>
  <c r="AQ81" i="46"/>
  <c r="AV65" i="46"/>
  <c r="AU80" i="46"/>
  <c r="AU23" i="50"/>
  <c r="AU5" i="52" s="1"/>
  <c r="AV47" i="50"/>
  <c r="AQ54" i="46"/>
  <c r="AW38" i="46"/>
  <c r="AT81" i="46"/>
  <c r="AP81" i="46"/>
  <c r="AS80" i="46"/>
  <c r="AX62" i="50" l="1"/>
  <c r="AU70" i="46"/>
  <c r="AU16" i="24" s="1"/>
  <c r="AX69" i="46"/>
  <c r="AR71" i="46"/>
  <c r="AR17" i="24" s="1"/>
  <c r="AW16" i="24"/>
  <c r="AP36" i="46"/>
  <c r="AX45" i="50"/>
  <c r="AX50" i="50"/>
  <c r="AX40" i="50"/>
  <c r="AX58" i="50" s="1"/>
  <c r="AX16" i="50"/>
  <c r="AS16" i="24"/>
  <c r="AW36" i="46"/>
  <c r="AV36" i="46"/>
  <c r="AT36" i="46"/>
  <c r="AS36" i="46"/>
  <c r="AW28" i="50"/>
  <c r="AX78" i="46"/>
  <c r="AQ43" i="46"/>
  <c r="AX62" i="46"/>
  <c r="AU25" i="46"/>
  <c r="AU43" i="46"/>
  <c r="AV28" i="50"/>
  <c r="AX36" i="46"/>
  <c r="AX61" i="50"/>
  <c r="AS43" i="46"/>
  <c r="AP43" i="46"/>
  <c r="AU30" i="46"/>
  <c r="AX72" i="46"/>
  <c r="AS71" i="46"/>
  <c r="AS17" i="24" s="1"/>
  <c r="AV71" i="46"/>
  <c r="AV17" i="24" s="1"/>
  <c r="AQ70" i="46"/>
  <c r="AQ16" i="24" s="1"/>
  <c r="AW49" i="46"/>
  <c r="AV43" i="46"/>
  <c r="AV42" i="46" s="1"/>
  <c r="AU48" i="50"/>
  <c r="AX43" i="46"/>
  <c r="AP72" i="46"/>
  <c r="AV70" i="46"/>
  <c r="AQ69" i="46"/>
  <c r="AP77" i="46"/>
  <c r="AP73" i="46" s="1"/>
  <c r="AS72" i="46"/>
  <c r="AT69" i="46"/>
  <c r="AW78" i="46"/>
  <c r="AQ36" i="46"/>
  <c r="AV61" i="50"/>
  <c r="AU43" i="50"/>
  <c r="AU17" i="52"/>
  <c r="AU18" i="52"/>
  <c r="AR76" i="46"/>
  <c r="AR73" i="46" s="1"/>
  <c r="AR25" i="46"/>
  <c r="AW19" i="46"/>
  <c r="AW68" i="46"/>
  <c r="AS77" i="46"/>
  <c r="AU71" i="46"/>
  <c r="AU17" i="24" s="1"/>
  <c r="AP70" i="46"/>
  <c r="AP16" i="24" s="1"/>
  <c r="AV68" i="46"/>
  <c r="AV19" i="46"/>
  <c r="AV18" i="46" s="1"/>
  <c r="AQ63" i="46"/>
  <c r="AQ62" i="46" s="1"/>
  <c r="AS14" i="46"/>
  <c r="AS63" i="46"/>
  <c r="AS62" i="46" s="1"/>
  <c r="AT63" i="46"/>
  <c r="AT62" i="46" s="1"/>
  <c r="AT14" i="46"/>
  <c r="AU14" i="46"/>
  <c r="AU63" i="46"/>
  <c r="AU62" i="46" s="1"/>
  <c r="AX60" i="50"/>
  <c r="AU54" i="46"/>
  <c r="AU36" i="46" s="1"/>
  <c r="AU78" i="46"/>
  <c r="AQ77" i="46"/>
  <c r="AT72" i="46"/>
  <c r="AU69" i="46"/>
  <c r="AP68" i="46"/>
  <c r="AV46" i="50"/>
  <c r="AV45" i="50" s="1"/>
  <c r="AW12" i="46"/>
  <c r="AV23" i="50"/>
  <c r="AV5" i="52" s="1"/>
  <c r="AV18" i="52" s="1"/>
  <c r="AV43" i="50"/>
  <c r="AV19" i="50"/>
  <c r="AV53" i="50" s="1"/>
  <c r="AV30" i="46"/>
  <c r="AQ19" i="46"/>
  <c r="AT30" i="46"/>
  <c r="AW43" i="46"/>
  <c r="AT77" i="46"/>
  <c r="AT73" i="46" s="1"/>
  <c r="AW72" i="46"/>
  <c r="AS19" i="46"/>
  <c r="AS68" i="46"/>
  <c r="AV72" i="46"/>
  <c r="AQ71" i="46"/>
  <c r="AQ17" i="24" s="1"/>
  <c r="AW69" i="46"/>
  <c r="AR68" i="46"/>
  <c r="AR19" i="46"/>
  <c r="AW48" i="50"/>
  <c r="AT68" i="46"/>
  <c r="AT19" i="46"/>
  <c r="AT18" i="46" s="1"/>
  <c r="AR62" i="46"/>
  <c r="AW43" i="50"/>
  <c r="AW19" i="50"/>
  <c r="AW53" i="50" s="1"/>
  <c r="AW50" i="50" s="1"/>
  <c r="AW74" i="46"/>
  <c r="AW25" i="46"/>
  <c r="AV62" i="46"/>
  <c r="AV78" i="46"/>
  <c r="AT78" i="46"/>
  <c r="AU75" i="46"/>
  <c r="AQ30" i="46"/>
  <c r="AQ12" i="46" s="1"/>
  <c r="AP49" i="46"/>
  <c r="AU49" i="46"/>
  <c r="AR43" i="46"/>
  <c r="AR42" i="46" s="1"/>
  <c r="AU74" i="46"/>
  <c r="AR72" i="46"/>
  <c r="AX70" i="46"/>
  <c r="AX16" i="24" s="1"/>
  <c r="AS69" i="46"/>
  <c r="AS30" i="46"/>
  <c r="AW23" i="50"/>
  <c r="AW5" i="52" s="1"/>
  <c r="AV18" i="50"/>
  <c r="AV52" i="50" s="1"/>
  <c r="AP14" i="46"/>
  <c r="AP63" i="46"/>
  <c r="AP62" i="46" s="1"/>
  <c r="AU6" i="52"/>
  <c r="AU17" i="50"/>
  <c r="AU41" i="50"/>
  <c r="AX20" i="52"/>
  <c r="AW63" i="46"/>
  <c r="AW62" i="46" s="1"/>
  <c r="AX77" i="46"/>
  <c r="AX73" i="46" s="1"/>
  <c r="AP30" i="46"/>
  <c r="AP79" i="46"/>
  <c r="AP78" i="46" s="1"/>
  <c r="AS49" i="46"/>
  <c r="AX42" i="46"/>
  <c r="AV41" i="50"/>
  <c r="AV17" i="50"/>
  <c r="AV51" i="50" s="1"/>
  <c r="AV6" i="52"/>
  <c r="AU61" i="50"/>
  <c r="AR79" i="46"/>
  <c r="AR78" i="46" s="1"/>
  <c r="AR30" i="46"/>
  <c r="AR12" i="46" s="1"/>
  <c r="AW46" i="50"/>
  <c r="AX7" i="52"/>
  <c r="AU77" i="46"/>
  <c r="AS25" i="46"/>
  <c r="AS74" i="46"/>
  <c r="AW71" i="46"/>
  <c r="AW17" i="24" s="1"/>
  <c r="AR70" i="46"/>
  <c r="AX19" i="46"/>
  <c r="AX68" i="46"/>
  <c r="AV14" i="46"/>
  <c r="AU19" i="50"/>
  <c r="AU53" i="50" s="1"/>
  <c r="AR36" i="46"/>
  <c r="AU18" i="50"/>
  <c r="AU52" i="50" s="1"/>
  <c r="AT43" i="46"/>
  <c r="AT42" i="46" s="1"/>
  <c r="AV76" i="46"/>
  <c r="AQ75" i="46"/>
  <c r="AU19" i="46"/>
  <c r="AP19" i="46"/>
  <c r="AP18" i="46" s="1"/>
  <c r="AX12" i="46"/>
  <c r="AQ79" i="46"/>
  <c r="AQ78" i="46" s="1"/>
  <c r="AW61" i="50"/>
  <c r="AQ49" i="46"/>
  <c r="AW77" i="46"/>
  <c r="AQ74" i="46"/>
  <c r="AQ25" i="46"/>
  <c r="AT70" i="46"/>
  <c r="AT16" i="24" s="1"/>
  <c r="AS78" i="46"/>
  <c r="AX25" i="46"/>
  <c r="AW40" i="50" l="1"/>
  <c r="AW58" i="50"/>
  <c r="AU45" i="50"/>
  <c r="AU62" i="50"/>
  <c r="AW62" i="50"/>
  <c r="AV62" i="50"/>
  <c r="AV40" i="50"/>
  <c r="AV57" i="50" s="1"/>
  <c r="AX60" i="46"/>
  <c r="AW45" i="50"/>
  <c r="AV50" i="50"/>
  <c r="AU16" i="50"/>
  <c r="AU51" i="50"/>
  <c r="AU50" i="50" s="1"/>
  <c r="AU60" i="50"/>
  <c r="AU40" i="50"/>
  <c r="AU56" i="50" s="1"/>
  <c r="AV16" i="50"/>
  <c r="AW16" i="50"/>
  <c r="AU18" i="46"/>
  <c r="AP67" i="46"/>
  <c r="AP66" i="46" s="1"/>
  <c r="AP15" i="24" s="1"/>
  <c r="AV16" i="24"/>
  <c r="AS42" i="46"/>
  <c r="AU42" i="46"/>
  <c r="AQ42" i="46"/>
  <c r="AP42" i="46"/>
  <c r="AR60" i="46"/>
  <c r="AR5" i="46" s="1"/>
  <c r="AR7" i="46" s="1"/>
  <c r="AQ67" i="46"/>
  <c r="AU12" i="46"/>
  <c r="AP60" i="46"/>
  <c r="AP5" i="46" s="1"/>
  <c r="AP7" i="46" s="1"/>
  <c r="AV73" i="46"/>
  <c r="AX56" i="50"/>
  <c r="AT60" i="46"/>
  <c r="AT5" i="46" s="1"/>
  <c r="AT7" i="46" s="1"/>
  <c r="AU67" i="46"/>
  <c r="AV67" i="46"/>
  <c r="AW18" i="52"/>
  <c r="AQ73" i="46"/>
  <c r="AR18" i="46"/>
  <c r="AX57" i="50"/>
  <c r="AX18" i="46"/>
  <c r="AX67" i="46"/>
  <c r="AX66" i="46" s="1"/>
  <c r="AX15" i="24" s="1"/>
  <c r="AW60" i="46"/>
  <c r="AW5" i="46" s="1"/>
  <c r="AW7" i="46" s="1"/>
  <c r="AV60" i="46"/>
  <c r="AV5" i="46" s="1"/>
  <c r="AV7" i="46" s="1"/>
  <c r="AW42" i="46"/>
  <c r="AX18" i="52"/>
  <c r="AW56" i="50"/>
  <c r="AW57" i="50"/>
  <c r="AW60" i="50"/>
  <c r="AX5" i="46"/>
  <c r="AX7" i="46" s="1"/>
  <c r="AS73" i="46"/>
  <c r="AV20" i="52"/>
  <c r="AU20" i="52"/>
  <c r="AV21" i="52"/>
  <c r="AW21" i="52"/>
  <c r="AX21" i="52"/>
  <c r="AU21" i="52"/>
  <c r="AT67" i="46"/>
  <c r="AT66" i="46" s="1"/>
  <c r="AT15" i="24" s="1"/>
  <c r="AW73" i="46"/>
  <c r="AS67" i="46"/>
  <c r="AV60" i="50"/>
  <c r="AU60" i="46"/>
  <c r="AS60" i="46"/>
  <c r="AW67" i="46"/>
  <c r="AR16" i="24"/>
  <c r="AU7" i="52"/>
  <c r="AW20" i="52"/>
  <c r="AX17" i="52"/>
  <c r="AW7" i="52"/>
  <c r="AS18" i="46"/>
  <c r="AQ18" i="46"/>
  <c r="AS12" i="46"/>
  <c r="AQ60" i="46"/>
  <c r="AW18" i="46"/>
  <c r="AP12" i="46"/>
  <c r="AU73" i="46"/>
  <c r="AR67" i="46"/>
  <c r="AR66" i="46" s="1"/>
  <c r="AR15" i="24" s="1"/>
  <c r="AV12" i="46"/>
  <c r="AV7" i="52"/>
  <c r="AW17" i="52"/>
  <c r="AT12" i="46"/>
  <c r="AV17" i="52"/>
  <c r="AV58" i="50" l="1"/>
  <c r="AU58" i="50"/>
  <c r="AU66" i="46"/>
  <c r="AU15" i="24" s="1"/>
  <c r="AQ66" i="46"/>
  <c r="AQ15" i="24" s="1"/>
  <c r="AV66" i="46"/>
  <c r="AV15" i="24" s="1"/>
  <c r="AW66" i="46"/>
  <c r="AW15" i="24" s="1"/>
  <c r="AV56" i="50"/>
  <c r="AW23" i="52"/>
  <c r="AU5" i="46"/>
  <c r="AU7" i="46" s="1"/>
  <c r="AQ5" i="46"/>
  <c r="AQ7" i="46" s="1"/>
  <c r="AX23" i="52"/>
  <c r="AV23" i="52"/>
  <c r="AW24" i="52"/>
  <c r="AX24" i="52"/>
  <c r="AU23" i="52"/>
  <c r="AU24" i="52"/>
  <c r="AV24" i="52"/>
  <c r="AU57" i="50"/>
  <c r="AS5" i="46"/>
  <c r="AS7" i="46" s="1"/>
  <c r="AS66" i="46"/>
  <c r="AS15" i="24" s="1"/>
  <c r="AS50" i="24" l="1"/>
  <c r="AO12" i="51" l="1"/>
  <c r="AN12" i="51"/>
  <c r="AM12" i="51"/>
  <c r="AL12" i="51"/>
  <c r="AK12" i="51"/>
  <c r="AJ12" i="51"/>
  <c r="AI12" i="51"/>
  <c r="AG12" i="51"/>
  <c r="AF12" i="51"/>
  <c r="AD12" i="51"/>
  <c r="AC12" i="51"/>
  <c r="AB12" i="51"/>
  <c r="Z12" i="51"/>
  <c r="Y12" i="51"/>
  <c r="X12" i="51"/>
  <c r="W12" i="51"/>
  <c r="V12" i="51"/>
  <c r="U12" i="51"/>
  <c r="T12" i="51"/>
  <c r="S12" i="51"/>
  <c r="R12" i="51"/>
  <c r="Q12" i="51"/>
  <c r="P12" i="51"/>
  <c r="O12" i="51"/>
  <c r="N12" i="51"/>
  <c r="M12" i="51"/>
  <c r="L12" i="51"/>
  <c r="K12" i="51"/>
  <c r="J12" i="51"/>
  <c r="I12" i="51"/>
  <c r="H12" i="51"/>
  <c r="G12" i="51"/>
  <c r="F12" i="51"/>
  <c r="E12" i="51"/>
  <c r="D12" i="51"/>
  <c r="C12" i="51"/>
  <c r="AM29" i="51" l="1"/>
  <c r="Y29" i="51"/>
  <c r="AO29" i="51"/>
  <c r="AG29" i="51"/>
  <c r="AC29" i="51"/>
  <c r="AN29" i="51"/>
  <c r="E29" i="51"/>
  <c r="H30" i="51"/>
  <c r="L30" i="51"/>
  <c r="I29" i="51"/>
  <c r="P30" i="51"/>
  <c r="M29" i="51"/>
  <c r="T30" i="51"/>
  <c r="Q29" i="51"/>
  <c r="U29" i="51"/>
  <c r="X30" i="51"/>
  <c r="AD29" i="51"/>
  <c r="AK29" i="51"/>
  <c r="AN30" i="51"/>
  <c r="F29" i="51"/>
  <c r="I30" i="51"/>
  <c r="M30" i="51"/>
  <c r="J29" i="51"/>
  <c r="Q30" i="51"/>
  <c r="N29" i="51"/>
  <c r="R29" i="51"/>
  <c r="U30" i="51"/>
  <c r="Y30" i="51"/>
  <c r="V29" i="51"/>
  <c r="Z29" i="51"/>
  <c r="AL29" i="51"/>
  <c r="AO30" i="51"/>
  <c r="G29" i="51"/>
  <c r="J30" i="51"/>
  <c r="N30" i="51"/>
  <c r="K29" i="51"/>
  <c r="O29" i="51"/>
  <c r="R30" i="51"/>
  <c r="S29" i="51"/>
  <c r="V30" i="51"/>
  <c r="W29" i="51"/>
  <c r="Z30" i="51"/>
  <c r="D29" i="51"/>
  <c r="G30" i="51"/>
  <c r="H29" i="51"/>
  <c r="K30" i="51"/>
  <c r="L29" i="51"/>
  <c r="O30" i="51"/>
  <c r="P29" i="51"/>
  <c r="S30" i="51"/>
  <c r="W30" i="51"/>
  <c r="T29" i="51"/>
  <c r="X29" i="51"/>
  <c r="AM30" i="51"/>
  <c r="AJ29" i="51"/>
  <c r="AH12" i="51"/>
  <c r="AA12" i="51"/>
  <c r="AE12" i="51"/>
  <c r="AG30" i="51" s="1"/>
  <c r="AJ30" i="51" l="1"/>
  <c r="AL30" i="51"/>
  <c r="AI29" i="51"/>
  <c r="AK30" i="51"/>
  <c r="AE29" i="51"/>
  <c r="AF30" i="51"/>
  <c r="AI30" i="51"/>
  <c r="AF29" i="51"/>
  <c r="AH29" i="51"/>
  <c r="AH30" i="51"/>
  <c r="AB30" i="51"/>
  <c r="AB29" i="51"/>
  <c r="AE30" i="51"/>
  <c r="AA30" i="51"/>
  <c r="AD30" i="51"/>
  <c r="AC30" i="51"/>
  <c r="AA29" i="51"/>
  <c r="BB15" i="52" l="1"/>
  <c r="BB5" i="42" l="1"/>
  <c r="BB14" i="42" s="1"/>
  <c r="BB17" i="42" s="1"/>
  <c r="BC10" i="42" l="1"/>
  <c r="BC14" i="42" s="1"/>
  <c r="BC17" i="42" s="1"/>
  <c r="BC10" i="26" l="1"/>
  <c r="BC14" i="26" s="1"/>
  <c r="BC17" i="26" s="1"/>
  <c r="BC8" i="24" l="1"/>
  <c r="BC27" i="28" l="1"/>
  <c r="BC21" i="51" s="1"/>
  <c r="BC5" i="43"/>
  <c r="BC19" i="51" l="1"/>
  <c r="BC29" i="28"/>
  <c r="BC12" i="25"/>
  <c r="BC9" i="25"/>
  <c r="BC18" i="25" l="1"/>
  <c r="BC6" i="24" s="1"/>
  <c r="BC35" i="24" s="1"/>
  <c r="BC24" i="25"/>
  <c r="BC9" i="24" l="1"/>
  <c r="BC26" i="25"/>
  <c r="BC27" i="25" s="1"/>
  <c r="BC30" i="25" s="1"/>
  <c r="BC41" i="25" s="1"/>
  <c r="BC10" i="24" l="1"/>
  <c r="BC43" i="24" l="1"/>
  <c r="BB8" i="24"/>
  <c r="BB5" i="28" l="1"/>
  <c r="BB18" i="28" s="1"/>
  <c r="BB27" i="28"/>
  <c r="BB21" i="51" s="1"/>
  <c r="BB12" i="25"/>
  <c r="BB5" i="43" l="1"/>
  <c r="BB20" i="51"/>
  <c r="BB19" i="51" s="1"/>
  <c r="BB29" i="28"/>
  <c r="BB9" i="25"/>
  <c r="BB18" i="25" s="1"/>
  <c r="BB6" i="24" l="1"/>
  <c r="BB35" i="24" s="1"/>
  <c r="BB24" i="25"/>
  <c r="BA7" i="24" l="1"/>
  <c r="BB26" i="25"/>
  <c r="BB27" i="25" s="1"/>
  <c r="BB30" i="25" s="1"/>
  <c r="BB41" i="25" s="1"/>
  <c r="BB9" i="24"/>
  <c r="BB10" i="24" l="1"/>
  <c r="BB43" i="24" s="1"/>
  <c r="BA8" i="24" l="1"/>
  <c r="BA27" i="28" l="1"/>
  <c r="BA21" i="51" s="1"/>
  <c r="BA5" i="28"/>
  <c r="BA18" i="28" s="1"/>
  <c r="BA12" i="25"/>
  <c r="BA9" i="25" l="1"/>
  <c r="BA18" i="25" s="1"/>
  <c r="BA5" i="43"/>
  <c r="BA20" i="51"/>
  <c r="BA29" i="28"/>
  <c r="BA19" i="51" l="1"/>
  <c r="BA6" i="24"/>
  <c r="BA35" i="24" s="1"/>
  <c r="BA24" i="25"/>
  <c r="BA26" i="25" l="1"/>
  <c r="BA27" i="25" s="1"/>
  <c r="BA30" i="25" s="1"/>
  <c r="BA41" i="25" s="1"/>
  <c r="BA9" i="24"/>
  <c r="BA10" i="24" l="1"/>
  <c r="AZ8" i="24"/>
  <c r="BA43" i="24" l="1"/>
  <c r="AZ27" i="28"/>
  <c r="AZ21" i="51" s="1"/>
  <c r="AZ5" i="28"/>
  <c r="AZ18" i="28" s="1"/>
  <c r="AZ12" i="25"/>
  <c r="AZ5" i="43" l="1"/>
  <c r="AZ9" i="25"/>
  <c r="AZ18" i="25" s="1"/>
  <c r="AZ29" i="28"/>
  <c r="AZ20" i="51"/>
  <c r="AZ19" i="51" s="1"/>
  <c r="AZ24" i="25" l="1"/>
  <c r="AZ6" i="24"/>
  <c r="AZ35" i="24" s="1"/>
  <c r="AZ26" i="25" l="1"/>
  <c r="AZ27" i="25" s="1"/>
  <c r="AZ30" i="25" s="1"/>
  <c r="AZ41" i="25" s="1"/>
  <c r="AZ9" i="24"/>
  <c r="AZ10" i="24" l="1"/>
  <c r="AZ43" i="24" s="1"/>
  <c r="AY8" i="24" l="1"/>
  <c r="AY27" i="28" l="1"/>
  <c r="AY21" i="51" s="1"/>
  <c r="AY5" i="28"/>
  <c r="AY18" i="28" s="1"/>
  <c r="AY5" i="43" l="1"/>
  <c r="AY9" i="25"/>
  <c r="AY12" i="25"/>
  <c r="AY20" i="51"/>
  <c r="AY19" i="51" s="1"/>
  <c r="AY29" i="28"/>
  <c r="AY18" i="25" l="1"/>
  <c r="AY24" i="25" s="1"/>
  <c r="AY6" i="24" l="1"/>
  <c r="AY35" i="24" s="1"/>
  <c r="AY26" i="25"/>
  <c r="AY27" i="25" s="1"/>
  <c r="AY30" i="25" s="1"/>
  <c r="AY41" i="25" s="1"/>
  <c r="AY9" i="24"/>
  <c r="AY10" i="24" l="1"/>
  <c r="AY43" i="24" s="1"/>
  <c r="AT5" i="43" l="1"/>
  <c r="AS5" i="43"/>
  <c r="AR5" i="43"/>
  <c r="AQ5" i="43"/>
  <c r="AS21" i="51"/>
  <c r="AX8" i="24"/>
  <c r="AW8" i="24"/>
  <c r="AV8" i="24"/>
  <c r="AU8" i="24"/>
  <c r="AT8" i="24"/>
  <c r="AS8" i="24"/>
  <c r="AR8" i="24"/>
  <c r="AQ8" i="24"/>
  <c r="AQ21" i="51" l="1"/>
  <c r="AU27" i="28"/>
  <c r="AU21" i="51" s="1"/>
  <c r="AU5" i="28"/>
  <c r="AU18" i="28" s="1"/>
  <c r="AU20" i="51" s="1"/>
  <c r="AR21" i="51"/>
  <c r="AX5" i="28"/>
  <c r="AX18" i="28" s="1"/>
  <c r="AU5" i="43"/>
  <c r="AW5" i="28"/>
  <c r="AW18" i="28" s="1"/>
  <c r="AV27" i="28"/>
  <c r="AV21" i="51" s="1"/>
  <c r="AV5" i="28"/>
  <c r="AV18" i="28" s="1"/>
  <c r="AW27" i="28"/>
  <c r="AW21" i="51" s="1"/>
  <c r="AW5" i="43"/>
  <c r="AU26" i="30"/>
  <c r="AT21" i="51"/>
  <c r="AX27" i="28"/>
  <c r="AX21" i="51" s="1"/>
  <c r="AU19" i="51" l="1"/>
  <c r="AU29" i="28"/>
  <c r="AX12" i="25"/>
  <c r="AS12" i="25"/>
  <c r="AV5" i="43"/>
  <c r="AT9" i="25"/>
  <c r="AW20" i="51"/>
  <c r="AW19" i="51" s="1"/>
  <c r="AW29" i="28"/>
  <c r="AS9" i="25"/>
  <c r="AX5" i="43"/>
  <c r="AW12" i="25"/>
  <c r="AX29" i="28"/>
  <c r="AX20" i="51"/>
  <c r="AX19" i="51" s="1"/>
  <c r="AU9" i="25"/>
  <c r="AR9" i="25"/>
  <c r="AQ20" i="51"/>
  <c r="AQ19" i="51" s="1"/>
  <c r="AQ9" i="25"/>
  <c r="AS20" i="51"/>
  <c r="AS19" i="51" s="1"/>
  <c r="AT20" i="51"/>
  <c r="AT19" i="51" s="1"/>
  <c r="AV20" i="51"/>
  <c r="AV19" i="51" s="1"/>
  <c r="AV29" i="28"/>
  <c r="AV9" i="25"/>
  <c r="AW9" i="25"/>
  <c r="AR20" i="51"/>
  <c r="AR19" i="51" s="1"/>
  <c r="AX9" i="25"/>
  <c r="AV12" i="25"/>
  <c r="AU12" i="25"/>
  <c r="AR12" i="25"/>
  <c r="AX18" i="25" l="1"/>
  <c r="AS18" i="25"/>
  <c r="AS24" i="25" s="1"/>
  <c r="AR18" i="25"/>
  <c r="AR24" i="25" s="1"/>
  <c r="AW18" i="25"/>
  <c r="AW6" i="24" s="1"/>
  <c r="AW35" i="24" s="1"/>
  <c r="AU18" i="25"/>
  <c r="AU24" i="25" s="1"/>
  <c r="AV18" i="25"/>
  <c r="AV24" i="25" s="1"/>
  <c r="AX24" i="25"/>
  <c r="AX6" i="24"/>
  <c r="AX35" i="24" s="1"/>
  <c r="AT12" i="25"/>
  <c r="AT18" i="25" s="1"/>
  <c r="AS6" i="24" l="1"/>
  <c r="AS35" i="24" s="1"/>
  <c r="AU6" i="24"/>
  <c r="AU35" i="24" s="1"/>
  <c r="AW24" i="25"/>
  <c r="AW9" i="24" s="1"/>
  <c r="AR6" i="24"/>
  <c r="AR35" i="24" s="1"/>
  <c r="AV6" i="24"/>
  <c r="AV35" i="24" s="1"/>
  <c r="AT6" i="24"/>
  <c r="AT35" i="24" s="1"/>
  <c r="AT24" i="25"/>
  <c r="AX9" i="24"/>
  <c r="AX26" i="25"/>
  <c r="AX27" i="25" s="1"/>
  <c r="AX30" i="25" s="1"/>
  <c r="AX41" i="25" s="1"/>
  <c r="AU36" i="24"/>
  <c r="AS26" i="25"/>
  <c r="AS27" i="25" s="1"/>
  <c r="AS9" i="24"/>
  <c r="AQ12" i="25"/>
  <c r="AQ18" i="25" s="1"/>
  <c r="AW26" i="25"/>
  <c r="AW27" i="25" s="1"/>
  <c r="AW30" i="25" s="1"/>
  <c r="AW41" i="25" s="1"/>
  <c r="AR26" i="25"/>
  <c r="AR27" i="25" s="1"/>
  <c r="AR9" i="24"/>
  <c r="AV26" i="25"/>
  <c r="AV27" i="25" s="1"/>
  <c r="AV30" i="25" s="1"/>
  <c r="AV41" i="25" s="1"/>
  <c r="AV9" i="24"/>
  <c r="AU26" i="25"/>
  <c r="AU27" i="25" s="1"/>
  <c r="AU30" i="25" s="1"/>
  <c r="AU41" i="25" s="1"/>
  <c r="AU9" i="24"/>
  <c r="AV36" i="24" l="1"/>
  <c r="AX36" i="24"/>
  <c r="AW36" i="24"/>
  <c r="AU10" i="24"/>
  <c r="AU43" i="24" s="1"/>
  <c r="AX10" i="24"/>
  <c r="AX43" i="24" s="1"/>
  <c r="AV10" i="24"/>
  <c r="AV43" i="24" s="1"/>
  <c r="AS10" i="24"/>
  <c r="AS43" i="24" s="1"/>
  <c r="AT26" i="25"/>
  <c r="AT27" i="25" s="1"/>
  <c r="AT9" i="24"/>
  <c r="AR10" i="24"/>
  <c r="AR43" i="24" s="1"/>
  <c r="AW10" i="24"/>
  <c r="AW43" i="24" s="1"/>
  <c r="AQ24" i="25"/>
  <c r="AQ6" i="24"/>
  <c r="AQ9" i="24" l="1"/>
  <c r="AQ26" i="25"/>
  <c r="AQ27" i="25" s="1"/>
  <c r="AT36" i="24"/>
  <c r="AS36" i="24"/>
  <c r="AQ36" i="24"/>
  <c r="AR36" i="24"/>
  <c r="AQ35" i="24"/>
  <c r="AT10" i="24"/>
  <c r="AT43" i="24" s="1"/>
  <c r="AQ10" i="24" l="1"/>
  <c r="AQ43" i="24" s="1"/>
  <c r="BF8" i="29" l="1"/>
  <c r="BE8" i="29"/>
  <c r="BD8" i="29"/>
  <c r="BC8" i="29"/>
  <c r="BB8" i="29"/>
  <c r="BA8" i="29"/>
  <c r="AZ8" i="29"/>
  <c r="AY8" i="29"/>
  <c r="AX8" i="29"/>
  <c r="AW8" i="29"/>
  <c r="AV8" i="29"/>
  <c r="AU8" i="29"/>
  <c r="BC22" i="49" l="1"/>
  <c r="BB22" i="49"/>
  <c r="AY22" i="49"/>
  <c r="BF17" i="49"/>
  <c r="BE17" i="49"/>
  <c r="BB17" i="49"/>
  <c r="AY17" i="49"/>
  <c r="BE8" i="49"/>
  <c r="BD8" i="49"/>
  <c r="BA8" i="49"/>
  <c r="BF28" i="50"/>
  <c r="BE28" i="50"/>
  <c r="BC28" i="50"/>
  <c r="BA28" i="50"/>
  <c r="AZ28" i="50"/>
  <c r="BF37" i="50"/>
  <c r="BD37" i="50"/>
  <c r="BC37" i="50"/>
  <c r="BA37" i="50"/>
  <c r="AZ37" i="50"/>
  <c r="AY37" i="50"/>
  <c r="BF36" i="50"/>
  <c r="BE36" i="50"/>
  <c r="BD36" i="50"/>
  <c r="BC36" i="50"/>
  <c r="BA36" i="50"/>
  <c r="AZ36" i="50"/>
  <c r="BF35" i="50"/>
  <c r="BE35" i="50"/>
  <c r="BC35" i="50"/>
  <c r="BB35" i="50"/>
  <c r="BA35" i="50"/>
  <c r="AZ35" i="50"/>
  <c r="BE54" i="46"/>
  <c r="BD54" i="46"/>
  <c r="BA54" i="46"/>
  <c r="BE38" i="46"/>
  <c r="BE36" i="46" s="1"/>
  <c r="BD38" i="46"/>
  <c r="BC38" i="46"/>
  <c r="AZ38" i="46"/>
  <c r="BE82" i="46"/>
  <c r="BD82" i="46"/>
  <c r="BC82" i="46"/>
  <c r="BB82" i="46"/>
  <c r="BA82" i="46"/>
  <c r="AZ82" i="46"/>
  <c r="AY82" i="46"/>
  <c r="BF81" i="46"/>
  <c r="BE81" i="46"/>
  <c r="BD81" i="46"/>
  <c r="BC81" i="46"/>
  <c r="BB81" i="46"/>
  <c r="BA81" i="46"/>
  <c r="AZ81" i="46"/>
  <c r="BF80" i="46"/>
  <c r="BE80" i="46"/>
  <c r="BD80" i="46"/>
  <c r="BC80" i="46"/>
  <c r="BB80" i="46"/>
  <c r="BA80" i="46"/>
  <c r="AY80" i="46"/>
  <c r="BE77" i="46"/>
  <c r="BF76" i="46"/>
  <c r="BE76" i="46"/>
  <c r="BC76" i="46"/>
  <c r="BB76" i="46"/>
  <c r="BA76" i="46"/>
  <c r="AZ76" i="46"/>
  <c r="AY76" i="46"/>
  <c r="BF75" i="46"/>
  <c r="BD75" i="46"/>
  <c r="BC75" i="46"/>
  <c r="BB75" i="46"/>
  <c r="BA75" i="46"/>
  <c r="AZ75" i="46"/>
  <c r="AY75" i="46"/>
  <c r="BE72" i="46"/>
  <c r="BB72" i="46"/>
  <c r="AZ72" i="46"/>
  <c r="BF71" i="46"/>
  <c r="BF17" i="24" s="1"/>
  <c r="BC71" i="46"/>
  <c r="BC17" i="24" s="1"/>
  <c r="BD70" i="46"/>
  <c r="AY70" i="46"/>
  <c r="BE65" i="46"/>
  <c r="BD65" i="46"/>
  <c r="BC65" i="46"/>
  <c r="BB65" i="46"/>
  <c r="BA65" i="46"/>
  <c r="AZ65" i="46"/>
  <c r="AY65" i="46"/>
  <c r="BF64" i="46"/>
  <c r="BE64" i="46"/>
  <c r="BD64" i="46"/>
  <c r="BC64" i="46"/>
  <c r="BB64" i="46"/>
  <c r="BA64" i="46"/>
  <c r="AZ64" i="46"/>
  <c r="BF17" i="51"/>
  <c r="BE17" i="51"/>
  <c r="BD17" i="51"/>
  <c r="BC17" i="51"/>
  <c r="BB17" i="51"/>
  <c r="BA17" i="51"/>
  <c r="AZ17" i="51"/>
  <c r="AY17" i="51"/>
  <c r="AX17" i="51"/>
  <c r="AW17" i="51"/>
  <c r="AV17" i="51"/>
  <c r="AU17" i="51"/>
  <c r="AT17" i="51"/>
  <c r="AS17" i="51"/>
  <c r="AR17" i="51"/>
  <c r="AQ17" i="51"/>
  <c r="AP17" i="51"/>
  <c r="BF16" i="51"/>
  <c r="BE16" i="51"/>
  <c r="BD16" i="51"/>
  <c r="BC16" i="51"/>
  <c r="BB16" i="51"/>
  <c r="BA16" i="51"/>
  <c r="AZ16" i="51"/>
  <c r="AY16" i="51"/>
  <c r="AX16" i="51"/>
  <c r="AW16" i="51"/>
  <c r="AV16" i="51"/>
  <c r="AU16" i="51"/>
  <c r="AT16" i="51"/>
  <c r="AS16" i="51"/>
  <c r="AR16" i="51"/>
  <c r="AQ16" i="51"/>
  <c r="AP16" i="51"/>
  <c r="BF13" i="51"/>
  <c r="BE13" i="51"/>
  <c r="BD13" i="51"/>
  <c r="BC13" i="51"/>
  <c r="BB13" i="51"/>
  <c r="BA13" i="51"/>
  <c r="AZ13" i="51"/>
  <c r="AY13" i="51"/>
  <c r="AX13" i="51"/>
  <c r="AW13" i="51"/>
  <c r="AV13" i="51"/>
  <c r="AU13" i="51"/>
  <c r="AT13" i="51"/>
  <c r="AS13" i="51"/>
  <c r="AR13" i="51"/>
  <c r="AQ13" i="51"/>
  <c r="AP13" i="51"/>
  <c r="BF8" i="51"/>
  <c r="BE8" i="51"/>
  <c r="BD8" i="51"/>
  <c r="BC8" i="51"/>
  <c r="BB8" i="51"/>
  <c r="BA8" i="51"/>
  <c r="AZ8" i="51"/>
  <c r="AY8" i="51"/>
  <c r="AX8" i="51"/>
  <c r="AW8" i="51"/>
  <c r="AV8" i="51"/>
  <c r="AU8" i="51"/>
  <c r="AT8" i="51"/>
  <c r="AS8" i="51"/>
  <c r="AR8" i="51"/>
  <c r="AQ8" i="51"/>
  <c r="AP8" i="51"/>
  <c r="BF7" i="51"/>
  <c r="BD7" i="51"/>
  <c r="BC7" i="51"/>
  <c r="BA7" i="51"/>
  <c r="AZ7" i="51"/>
  <c r="AY7" i="51"/>
  <c r="AX7" i="51"/>
  <c r="AV7" i="51"/>
  <c r="AU7" i="51"/>
  <c r="AS7" i="51"/>
  <c r="AR7" i="51"/>
  <c r="AQ7" i="51"/>
  <c r="AP7" i="51"/>
  <c r="BF6" i="51"/>
  <c r="BE6" i="51"/>
  <c r="BD6" i="51"/>
  <c r="BC6" i="51"/>
  <c r="BB6" i="51"/>
  <c r="BA6" i="51"/>
  <c r="AZ6" i="51"/>
  <c r="AY6" i="51"/>
  <c r="AX6" i="51"/>
  <c r="AW6" i="51"/>
  <c r="AV6" i="51"/>
  <c r="AU6" i="51"/>
  <c r="AT6" i="51"/>
  <c r="AS6" i="51"/>
  <c r="AR6" i="51"/>
  <c r="AQ6" i="51"/>
  <c r="AP6" i="51"/>
  <c r="BE18" i="24" l="1"/>
  <c r="BE15" i="51"/>
  <c r="BF63" i="46"/>
  <c r="BF14" i="46"/>
  <c r="BF72" i="46"/>
  <c r="BA44" i="50"/>
  <c r="BA20" i="50"/>
  <c r="BA54" i="50" s="1"/>
  <c r="AY14" i="46"/>
  <c r="AY63" i="46"/>
  <c r="BA70" i="46"/>
  <c r="BA16" i="24" s="1"/>
  <c r="AZ71" i="46"/>
  <c r="AZ17" i="24" s="1"/>
  <c r="AZ30" i="46"/>
  <c r="AZ79" i="46"/>
  <c r="BD36" i="46"/>
  <c r="BA23" i="50"/>
  <c r="BA5" i="52" s="1"/>
  <c r="BA34" i="50"/>
  <c r="BA33" i="50" s="1"/>
  <c r="BD35" i="50"/>
  <c r="AY36" i="50"/>
  <c r="BB37" i="50"/>
  <c r="BA17" i="50"/>
  <c r="BA41" i="50"/>
  <c r="BA6" i="50"/>
  <c r="BA6" i="52" s="1"/>
  <c r="BD42" i="50"/>
  <c r="BD18" i="50"/>
  <c r="AY43" i="50"/>
  <c r="AY19" i="50"/>
  <c r="AY53" i="50" s="1"/>
  <c r="BB20" i="50"/>
  <c r="BB54" i="50" s="1"/>
  <c r="BB44" i="50"/>
  <c r="BE11" i="50"/>
  <c r="BE46" i="50"/>
  <c r="AZ47" i="50"/>
  <c r="BC48" i="50"/>
  <c r="BF49" i="50"/>
  <c r="BE14" i="24"/>
  <c r="BE10" i="51"/>
  <c r="BF74" i="46"/>
  <c r="AZ23" i="50"/>
  <c r="AZ5" i="52" s="1"/>
  <c r="AZ34" i="50"/>
  <c r="AZ33" i="50" s="1"/>
  <c r="AZ6" i="50"/>
  <c r="AZ6" i="52" s="1"/>
  <c r="AZ41" i="50"/>
  <c r="AZ17" i="50"/>
  <c r="BD46" i="50"/>
  <c r="BD11" i="50"/>
  <c r="BB48" i="50"/>
  <c r="AZ63" i="46"/>
  <c r="AZ62" i="46" s="1"/>
  <c r="AZ14" i="46"/>
  <c r="AZ12" i="46" s="1"/>
  <c r="AY64" i="46"/>
  <c r="BF65" i="46"/>
  <c r="BB70" i="46"/>
  <c r="BB16" i="24" s="1"/>
  <c r="BA71" i="46"/>
  <c r="BA17" i="24" s="1"/>
  <c r="BC72" i="46"/>
  <c r="AZ25" i="46"/>
  <c r="AZ74" i="46"/>
  <c r="BE75" i="46"/>
  <c r="BD76" i="46"/>
  <c r="BB77" i="46"/>
  <c r="BA30" i="46"/>
  <c r="BA79" i="46"/>
  <c r="BA78" i="46" s="1"/>
  <c r="AZ80" i="46"/>
  <c r="AY81" i="46"/>
  <c r="BF82" i="46"/>
  <c r="BA43" i="46"/>
  <c r="BA42" i="46" s="1"/>
  <c r="BE49" i="46"/>
  <c r="BF54" i="46"/>
  <c r="BB34" i="50"/>
  <c r="BB23" i="50"/>
  <c r="BB5" i="52" s="1"/>
  <c r="BB6" i="50"/>
  <c r="BB6" i="52" s="1"/>
  <c r="BB17" i="50"/>
  <c r="BB41" i="50"/>
  <c r="BE18" i="50"/>
  <c r="BE52" i="50" s="1"/>
  <c r="BE42" i="50"/>
  <c r="AZ43" i="50"/>
  <c r="AZ19" i="50"/>
  <c r="AZ53" i="50" s="1"/>
  <c r="BC44" i="50"/>
  <c r="BC20" i="50"/>
  <c r="BC54" i="50" s="1"/>
  <c r="BF11" i="50"/>
  <c r="BF46" i="50"/>
  <c r="BA47" i="50"/>
  <c r="BD48" i="50"/>
  <c r="AY49" i="50"/>
  <c r="BF8" i="49"/>
  <c r="BB13" i="49"/>
  <c r="BB12" i="49" s="1"/>
  <c r="BA13" i="49"/>
  <c r="BD22" i="49"/>
  <c r="BD6" i="49" s="1"/>
  <c r="AR35" i="44"/>
  <c r="AY30" i="46"/>
  <c r="AY79" i="46"/>
  <c r="AY78" i="46" s="1"/>
  <c r="BE70" i="46"/>
  <c r="BE16" i="24" s="1"/>
  <c r="BF43" i="50"/>
  <c r="BF19" i="50"/>
  <c r="BF53" i="50" s="1"/>
  <c r="BE49" i="50"/>
  <c r="BA14" i="46"/>
  <c r="BA12" i="46" s="1"/>
  <c r="BA63" i="46"/>
  <c r="BA62" i="46" s="1"/>
  <c r="BB71" i="46"/>
  <c r="BB17" i="24" s="1"/>
  <c r="AY69" i="46"/>
  <c r="BA74" i="46"/>
  <c r="BA25" i="46"/>
  <c r="BB79" i="46"/>
  <c r="BB78" i="46" s="1"/>
  <c r="BB30" i="46"/>
  <c r="BF38" i="46"/>
  <c r="BF49" i="46"/>
  <c r="AZ49" i="46"/>
  <c r="AY54" i="46"/>
  <c r="BC23" i="50"/>
  <c r="BC5" i="52" s="1"/>
  <c r="BC34" i="50"/>
  <c r="BC33" i="50" s="1"/>
  <c r="AY28" i="50"/>
  <c r="BC17" i="50"/>
  <c r="BC6" i="50"/>
  <c r="BC6" i="52" s="1"/>
  <c r="BC41" i="50"/>
  <c r="BF18" i="50"/>
  <c r="BF52" i="50" s="1"/>
  <c r="BF42" i="50"/>
  <c r="BA19" i="50"/>
  <c r="BA53" i="50" s="1"/>
  <c r="BA43" i="50"/>
  <c r="BD20" i="50"/>
  <c r="BD54" i="50" s="1"/>
  <c r="BD44" i="50"/>
  <c r="AY11" i="50"/>
  <c r="AY46" i="50"/>
  <c r="BB47" i="50"/>
  <c r="BE48" i="50"/>
  <c r="AZ49" i="50"/>
  <c r="AY8" i="49"/>
  <c r="AZ17" i="49"/>
  <c r="BE22" i="49"/>
  <c r="BE6" i="49" s="1"/>
  <c r="BD69" i="46"/>
  <c r="BD28" i="50"/>
  <c r="BC42" i="50"/>
  <c r="BC18" i="50"/>
  <c r="BC52" i="50" s="1"/>
  <c r="AY47" i="50"/>
  <c r="AT7" i="51"/>
  <c r="BB7" i="51"/>
  <c r="BE35" i="44"/>
  <c r="BB63" i="46"/>
  <c r="BB62" i="46" s="1"/>
  <c r="BB60" i="46" s="1"/>
  <c r="BB14" i="46"/>
  <c r="BD16" i="24"/>
  <c r="AZ69" i="46"/>
  <c r="BC30" i="46"/>
  <c r="BC79" i="46"/>
  <c r="BC78" i="46" s="1"/>
  <c r="AY38" i="46"/>
  <c r="BB43" i="46"/>
  <c r="AY49" i="46"/>
  <c r="BA49" i="46"/>
  <c r="AZ54" i="46"/>
  <c r="AZ36" i="46" s="1"/>
  <c r="BD34" i="50"/>
  <c r="BD23" i="50"/>
  <c r="BD5" i="52" s="1"/>
  <c r="AY35" i="50"/>
  <c r="BB36" i="50"/>
  <c r="BE37" i="50"/>
  <c r="BD41" i="50"/>
  <c r="BD17" i="50"/>
  <c r="BD6" i="50"/>
  <c r="BD6" i="52" s="1"/>
  <c r="AY18" i="50"/>
  <c r="AY42" i="50"/>
  <c r="BB19" i="50"/>
  <c r="BB43" i="50"/>
  <c r="BE44" i="50"/>
  <c r="BE20" i="50"/>
  <c r="AZ46" i="50"/>
  <c r="AZ11" i="50"/>
  <c r="BC47" i="50"/>
  <c r="BF48" i="50"/>
  <c r="BA49" i="50"/>
  <c r="AZ8" i="49"/>
  <c r="BE13" i="49"/>
  <c r="BE12" i="49" s="1"/>
  <c r="BD13" i="49"/>
  <c r="BA17" i="49"/>
  <c r="BF22" i="49"/>
  <c r="BA69" i="46"/>
  <c r="BD30" i="46"/>
  <c r="BD79" i="46"/>
  <c r="BD78" i="46" s="1"/>
  <c r="BE34" i="50"/>
  <c r="BE23" i="50"/>
  <c r="BE5" i="52" s="1"/>
  <c r="AZ42" i="50"/>
  <c r="AZ18" i="50"/>
  <c r="AZ52" i="50" s="1"/>
  <c r="BA46" i="50"/>
  <c r="BA11" i="50"/>
  <c r="AY48" i="50"/>
  <c r="AY62" i="50" s="1"/>
  <c r="BB49" i="50"/>
  <c r="BD14" i="46"/>
  <c r="BD63" i="46"/>
  <c r="BD62" i="46" s="1"/>
  <c r="BF70" i="46"/>
  <c r="BF16" i="24" s="1"/>
  <c r="BE71" i="46"/>
  <c r="BE17" i="24" s="1"/>
  <c r="BB69" i="46"/>
  <c r="AY72" i="46"/>
  <c r="BD25" i="46"/>
  <c r="BD74" i="46"/>
  <c r="BF77" i="46"/>
  <c r="BE79" i="46"/>
  <c r="BE78" i="46" s="1"/>
  <c r="BE30" i="46"/>
  <c r="BA38" i="46"/>
  <c r="BA36" i="46" s="1"/>
  <c r="BE69" i="46"/>
  <c r="BD43" i="46"/>
  <c r="BD42" i="46" s="1"/>
  <c r="BC49" i="46"/>
  <c r="BB54" i="46"/>
  <c r="BF34" i="50"/>
  <c r="BF33" i="50" s="1"/>
  <c r="BF23" i="50"/>
  <c r="BF5" i="52" s="1"/>
  <c r="BB28" i="50"/>
  <c r="BF17" i="50"/>
  <c r="BF41" i="50"/>
  <c r="BF6" i="50"/>
  <c r="BF6" i="52" s="1"/>
  <c r="BA18" i="50"/>
  <c r="BA52" i="50" s="1"/>
  <c r="BA42" i="50"/>
  <c r="BD19" i="50"/>
  <c r="BD53" i="50" s="1"/>
  <c r="BD43" i="50"/>
  <c r="AY20" i="50"/>
  <c r="AY54" i="50" s="1"/>
  <c r="AY44" i="50"/>
  <c r="BB11" i="50"/>
  <c r="BB46" i="50"/>
  <c r="BE47" i="50"/>
  <c r="BE61" i="50" s="1"/>
  <c r="AZ48" i="50"/>
  <c r="BC49" i="50"/>
  <c r="BB8" i="49"/>
  <c r="BC17" i="49"/>
  <c r="AZ22" i="49"/>
  <c r="BC14" i="46"/>
  <c r="BC12" i="46" s="1"/>
  <c r="BC63" i="46"/>
  <c r="BC62" i="46" s="1"/>
  <c r="BD71" i="46"/>
  <c r="BD17" i="24" s="1"/>
  <c r="BC74" i="46"/>
  <c r="BC25" i="46"/>
  <c r="BC43" i="46"/>
  <c r="BE6" i="50"/>
  <c r="BE6" i="52" s="1"/>
  <c r="BE17" i="50"/>
  <c r="BE41" i="50"/>
  <c r="BC43" i="50"/>
  <c r="BC19" i="50"/>
  <c r="BC53" i="50" s="1"/>
  <c r="BF44" i="50"/>
  <c r="BF20" i="50"/>
  <c r="BF54" i="50" s="1"/>
  <c r="BD47" i="50"/>
  <c r="BD61" i="50" s="1"/>
  <c r="AY6" i="49"/>
  <c r="AW7" i="51"/>
  <c r="BE7" i="51"/>
  <c r="AZ35" i="44"/>
  <c r="BE14" i="46"/>
  <c r="BE63" i="46"/>
  <c r="BE62" i="46" s="1"/>
  <c r="AY16" i="24"/>
  <c r="BC69" i="46"/>
  <c r="AY77" i="46"/>
  <c r="BF79" i="46"/>
  <c r="BF78" i="46" s="1"/>
  <c r="BF30" i="46"/>
  <c r="BB38" i="46"/>
  <c r="BF43" i="46"/>
  <c r="BB49" i="46"/>
  <c r="BD49" i="46"/>
  <c r="BC54" i="46"/>
  <c r="BC36" i="46" s="1"/>
  <c r="AY23" i="50"/>
  <c r="AY5" i="52" s="1"/>
  <c r="AY34" i="50"/>
  <c r="AY33" i="50" s="1"/>
  <c r="AY41" i="50"/>
  <c r="AY6" i="50"/>
  <c r="AY6" i="52" s="1"/>
  <c r="AY17" i="50"/>
  <c r="BB18" i="50"/>
  <c r="BB52" i="50" s="1"/>
  <c r="BB42" i="50"/>
  <c r="BE43" i="50"/>
  <c r="BE19" i="50"/>
  <c r="BE53" i="50" s="1"/>
  <c r="AZ20" i="50"/>
  <c r="AZ54" i="50" s="1"/>
  <c r="AZ44" i="50"/>
  <c r="BC46" i="50"/>
  <c r="BC11" i="50"/>
  <c r="BF47" i="50"/>
  <c r="BF61" i="50" s="1"/>
  <c r="BA48" i="50"/>
  <c r="BA62" i="50" s="1"/>
  <c r="BD49" i="50"/>
  <c r="BC8" i="49"/>
  <c r="AZ13" i="49"/>
  <c r="AZ12" i="49" s="1"/>
  <c r="AY13" i="49"/>
  <c r="AY12" i="49" s="1"/>
  <c r="BF13" i="49"/>
  <c r="BF12" i="49" s="1"/>
  <c r="BD17" i="49"/>
  <c r="BA22" i="49"/>
  <c r="BA6" i="49" s="1"/>
  <c r="AX35" i="44"/>
  <c r="AV35" i="44"/>
  <c r="AS35" i="44"/>
  <c r="BC61" i="50" l="1"/>
  <c r="BF20" i="52"/>
  <c r="AZ62" i="50"/>
  <c r="BB53" i="50"/>
  <c r="BD12" i="49"/>
  <c r="BC42" i="46"/>
  <c r="BE60" i="46"/>
  <c r="BF42" i="46"/>
  <c r="AZ40" i="50"/>
  <c r="AZ57" i="50" s="1"/>
  <c r="AZ56" i="50"/>
  <c r="BF15" i="51"/>
  <c r="BF18" i="24"/>
  <c r="AY51" i="50"/>
  <c r="AY16" i="50"/>
  <c r="BE68" i="46"/>
  <c r="BE67" i="46" s="1"/>
  <c r="BE43" i="46"/>
  <c r="BE42" i="46" s="1"/>
  <c r="BD68" i="46"/>
  <c r="BD19" i="46"/>
  <c r="BD18" i="46" s="1"/>
  <c r="AZ6" i="49"/>
  <c r="BB58" i="50"/>
  <c r="BB61" i="50"/>
  <c r="BC70" i="46"/>
  <c r="BC16" i="24" s="1"/>
  <c r="BF60" i="50"/>
  <c r="BF45" i="50"/>
  <c r="BB40" i="50"/>
  <c r="BB56" i="50"/>
  <c r="AZ43" i="46"/>
  <c r="AZ42" i="46" s="1"/>
  <c r="BD21" i="52"/>
  <c r="BA20" i="52"/>
  <c r="BC62" i="50"/>
  <c r="BD52" i="50"/>
  <c r="AZ78" i="46"/>
  <c r="AZ60" i="46" s="1"/>
  <c r="BB42" i="46"/>
  <c r="BA35" i="44"/>
  <c r="BA15" i="51"/>
  <c r="BA18" i="24"/>
  <c r="BC60" i="50"/>
  <c r="BC45" i="50"/>
  <c r="BC21" i="52"/>
  <c r="AZ20" i="52"/>
  <c r="BB45" i="50"/>
  <c r="BB60" i="50"/>
  <c r="BD60" i="46"/>
  <c r="BA45" i="50"/>
  <c r="BA60" i="50"/>
  <c r="AY36" i="46"/>
  <c r="BB12" i="46"/>
  <c r="AY60" i="50"/>
  <c r="AY45" i="50"/>
  <c r="BC40" i="50"/>
  <c r="BC56" i="50"/>
  <c r="BC77" i="46"/>
  <c r="BC73" i="46" s="1"/>
  <c r="BF58" i="50"/>
  <c r="BA12" i="49"/>
  <c r="BB51" i="50"/>
  <c r="BB50" i="50" s="1"/>
  <c r="BB16" i="50"/>
  <c r="AZ61" i="50"/>
  <c r="BB17" i="52"/>
  <c r="BE18" i="52"/>
  <c r="BA7" i="52"/>
  <c r="AY62" i="46"/>
  <c r="AY60" i="46" s="1"/>
  <c r="BF12" i="46"/>
  <c r="AT10" i="51"/>
  <c r="AT14" i="24"/>
  <c r="BA61" i="50"/>
  <c r="AS14" i="24"/>
  <c r="AS10" i="51"/>
  <c r="AZ14" i="24"/>
  <c r="AZ10" i="51"/>
  <c r="AR14" i="24"/>
  <c r="AR10" i="51"/>
  <c r="AP35" i="44"/>
  <c r="AP18" i="24"/>
  <c r="AP15" i="51"/>
  <c r="AY40" i="50"/>
  <c r="AY56" i="50" s="1"/>
  <c r="BB36" i="46"/>
  <c r="BE5" i="46"/>
  <c r="BE7" i="46" s="1"/>
  <c r="BF40" i="50"/>
  <c r="BF56" i="50" s="1"/>
  <c r="BD12" i="46"/>
  <c r="BF62" i="50"/>
  <c r="BD7" i="52"/>
  <c r="BE17" i="52"/>
  <c r="BC60" i="46"/>
  <c r="BB5" i="46"/>
  <c r="BB7" i="46" s="1"/>
  <c r="AY61" i="50"/>
  <c r="BD20" i="52"/>
  <c r="BC20" i="52"/>
  <c r="BF21" i="52"/>
  <c r="AZ7" i="52"/>
  <c r="BD18" i="52"/>
  <c r="BA17" i="52"/>
  <c r="BE60" i="50"/>
  <c r="BE45" i="50"/>
  <c r="BB20" i="52"/>
  <c r="BE21" i="52"/>
  <c r="BA77" i="46"/>
  <c r="BA73" i="46" s="1"/>
  <c r="AY12" i="46"/>
  <c r="BF62" i="46"/>
  <c r="BF60" i="46" s="1"/>
  <c r="AT18" i="24"/>
  <c r="AT15" i="51"/>
  <c r="BF57" i="50"/>
  <c r="BC14" i="24"/>
  <c r="BC10" i="51"/>
  <c r="BF10" i="51"/>
  <c r="BF14" i="24"/>
  <c r="AP14" i="24"/>
  <c r="AP10" i="51"/>
  <c r="AW18" i="24"/>
  <c r="AW15" i="51"/>
  <c r="AZ18" i="24"/>
  <c r="AZ15" i="51"/>
  <c r="AW10" i="51"/>
  <c r="AW14" i="24"/>
  <c r="BE12" i="46"/>
  <c r="BF51" i="50"/>
  <c r="BF50" i="50" s="1"/>
  <c r="BF16" i="50"/>
  <c r="AY52" i="50"/>
  <c r="BD33" i="50"/>
  <c r="BC51" i="50"/>
  <c r="BC50" i="50" s="1"/>
  <c r="BC16" i="50"/>
  <c r="AY71" i="46"/>
  <c r="AY17" i="24" s="1"/>
  <c r="BF35" i="44"/>
  <c r="BC13" i="49"/>
  <c r="BC12" i="49" s="1"/>
  <c r="BB7" i="52"/>
  <c r="BF18" i="52"/>
  <c r="BC17" i="52"/>
  <c r="BB62" i="50"/>
  <c r="AZ77" i="46"/>
  <c r="AZ73" i="46" s="1"/>
  <c r="BA40" i="50"/>
  <c r="BA56" i="50" s="1"/>
  <c r="AY25" i="46"/>
  <c r="AR15" i="51"/>
  <c r="AR18" i="24"/>
  <c r="BC6" i="49"/>
  <c r="BC18" i="52"/>
  <c r="AY7" i="52"/>
  <c r="AZ17" i="52"/>
  <c r="BC58" i="50"/>
  <c r="BB68" i="46"/>
  <c r="BB67" i="46" s="1"/>
  <c r="BE7" i="52"/>
  <c r="BF17" i="52"/>
  <c r="BE20" i="52"/>
  <c r="BD77" i="46"/>
  <c r="BD73" i="46" s="1"/>
  <c r="AW35" i="44"/>
  <c r="BC57" i="50"/>
  <c r="AZ70" i="46"/>
  <c r="AZ16" i="24" s="1"/>
  <c r="BD72" i="46"/>
  <c r="BF6" i="49"/>
  <c r="BB33" i="50"/>
  <c r="BF25" i="46"/>
  <c r="BA51" i="50"/>
  <c r="BA50" i="50" s="1"/>
  <c r="BA16" i="50"/>
  <c r="AY74" i="46"/>
  <c r="AQ35" i="44"/>
  <c r="AQ18" i="24"/>
  <c r="AQ15" i="51"/>
  <c r="BE62" i="50"/>
  <c r="BA14" i="24"/>
  <c r="BA10" i="51"/>
  <c r="AX15" i="51"/>
  <c r="AX18" i="24"/>
  <c r="AU35" i="44"/>
  <c r="AU18" i="24"/>
  <c r="AU15" i="51"/>
  <c r="AX14" i="24"/>
  <c r="AX10" i="51"/>
  <c r="AU14" i="24"/>
  <c r="AU10" i="51"/>
  <c r="AQ10" i="51"/>
  <c r="AQ14" i="24"/>
  <c r="BD14" i="24"/>
  <c r="BD10" i="51"/>
  <c r="AY73" i="46"/>
  <c r="BE40" i="50"/>
  <c r="BE58" i="50" s="1"/>
  <c r="BE56" i="50"/>
  <c r="BB19" i="46"/>
  <c r="BB6" i="49"/>
  <c r="BF7" i="52"/>
  <c r="BE33" i="50"/>
  <c r="AZ45" i="50"/>
  <c r="AZ60" i="50"/>
  <c r="BD51" i="50"/>
  <c r="BD50" i="50" s="1"/>
  <c r="BD16" i="50"/>
  <c r="BB25" i="46"/>
  <c r="BB74" i="46"/>
  <c r="BB73" i="46" s="1"/>
  <c r="BE19" i="46"/>
  <c r="AZ58" i="50"/>
  <c r="BA60" i="46"/>
  <c r="BF69" i="46"/>
  <c r="BD60" i="50"/>
  <c r="BD45" i="50"/>
  <c r="BF73" i="46"/>
  <c r="AY43" i="46"/>
  <c r="AY42" i="46" s="1"/>
  <c r="AV18" i="24"/>
  <c r="AV15" i="51"/>
  <c r="AT35" i="44"/>
  <c r="BA68" i="46"/>
  <c r="BA19" i="46"/>
  <c r="BA18" i="46" s="1"/>
  <c r="AY58" i="50"/>
  <c r="BC18" i="24"/>
  <c r="BC15" i="51"/>
  <c r="AS18" i="24"/>
  <c r="AS15" i="51"/>
  <c r="AY14" i="24"/>
  <c r="AY10" i="51"/>
  <c r="BD35" i="44"/>
  <c r="BD15" i="51"/>
  <c r="BD18" i="24"/>
  <c r="BB18" i="24"/>
  <c r="BB15" i="51"/>
  <c r="BB14" i="24"/>
  <c r="BB10" i="51"/>
  <c r="AY35" i="44"/>
  <c r="AY15" i="51"/>
  <c r="AY18" i="24"/>
  <c r="AV10" i="51"/>
  <c r="AV14" i="24"/>
  <c r="BB57" i="50"/>
  <c r="BE74" i="46"/>
  <c r="BE73" i="46" s="1"/>
  <c r="BE25" i="46"/>
  <c r="BB35" i="44"/>
  <c r="BE51" i="50"/>
  <c r="BE50" i="50" s="1"/>
  <c r="BE16" i="50"/>
  <c r="BC19" i="46"/>
  <c r="BC18" i="46" s="1"/>
  <c r="BC68" i="46"/>
  <c r="BC67" i="46" s="1"/>
  <c r="BE54" i="50"/>
  <c r="BD40" i="50"/>
  <c r="BD56" i="50" s="1"/>
  <c r="BD17" i="52"/>
  <c r="BC7" i="52"/>
  <c r="BD23" i="52" s="1"/>
  <c r="BF36" i="46"/>
  <c r="AZ68" i="46"/>
  <c r="AZ67" i="46" s="1"/>
  <c r="AZ19" i="46"/>
  <c r="AZ18" i="46" s="1"/>
  <c r="BC35" i="44"/>
  <c r="BD62" i="50"/>
  <c r="AY68" i="46"/>
  <c r="AY67" i="46" s="1"/>
  <c r="AY19" i="46"/>
  <c r="AY18" i="46" s="1"/>
  <c r="AZ16" i="50"/>
  <c r="AZ51" i="50"/>
  <c r="AZ50" i="50" s="1"/>
  <c r="BA72" i="46"/>
  <c r="BF68" i="46"/>
  <c r="BF67" i="46" s="1"/>
  <c r="BF66" i="46" s="1"/>
  <c r="BF15" i="24" s="1"/>
  <c r="BF19" i="46"/>
  <c r="AY57" i="50" l="1"/>
  <c r="BC66" i="46"/>
  <c r="BC15" i="24" s="1"/>
  <c r="BE18" i="46"/>
  <c r="AY66" i="46"/>
  <c r="AY15" i="24" s="1"/>
  <c r="BF18" i="46"/>
  <c r="AZ5" i="46"/>
  <c r="AZ7" i="46" s="1"/>
  <c r="BE66" i="46"/>
  <c r="BE15" i="24" s="1"/>
  <c r="BA58" i="50"/>
  <c r="BD57" i="50"/>
  <c r="BD5" i="46"/>
  <c r="BD7" i="46" s="1"/>
  <c r="AY50" i="50"/>
  <c r="BE57" i="50"/>
  <c r="BA67" i="46"/>
  <c r="BA66" i="46" s="1"/>
  <c r="BA15" i="24" s="1"/>
  <c r="BD58" i="50"/>
  <c r="BF23" i="52"/>
  <c r="BF5" i="46"/>
  <c r="BF7" i="46" s="1"/>
  <c r="AZ66" i="46"/>
  <c r="AZ15" i="24" s="1"/>
  <c r="BB66" i="46"/>
  <c r="BB15" i="24" s="1"/>
  <c r="BA23" i="52"/>
  <c r="BD24" i="52"/>
  <c r="BC5" i="46"/>
  <c r="BC7" i="46" s="1"/>
  <c r="BC23" i="52"/>
  <c r="BF24" i="52"/>
  <c r="AY5" i="46"/>
  <c r="AY7" i="46" s="1"/>
  <c r="AZ23" i="52"/>
  <c r="BC24" i="52"/>
  <c r="BA5" i="46"/>
  <c r="BA7" i="46" s="1"/>
  <c r="BB18" i="46"/>
  <c r="BA57" i="50"/>
  <c r="BE23" i="52"/>
  <c r="BB23" i="52"/>
  <c r="BE24" i="52"/>
  <c r="BD67" i="46"/>
  <c r="BD66" i="46" s="1"/>
  <c r="BD15" i="24" s="1"/>
  <c r="BB9" i="51" l="1"/>
  <c r="BB5" i="51" s="1"/>
  <c r="BB20" i="44"/>
  <c r="AY9" i="51"/>
  <c r="AY5" i="51" s="1"/>
  <c r="AY20" i="44"/>
  <c r="BC9" i="51"/>
  <c r="BC5" i="51" s="1"/>
  <c r="BC20" i="44"/>
  <c r="BD9" i="51"/>
  <c r="BD5" i="51" s="1"/>
  <c r="BD20" i="44"/>
  <c r="BA9" i="51"/>
  <c r="BA5" i="51" s="1"/>
  <c r="BA20" i="44"/>
  <c r="AU9" i="51"/>
  <c r="AU5" i="51" s="1"/>
  <c r="AU20" i="44"/>
  <c r="AW9" i="51"/>
  <c r="AW5" i="51" s="1"/>
  <c r="AW20" i="44"/>
  <c r="AV9" i="51"/>
  <c r="AV5" i="51" s="1"/>
  <c r="AV20" i="44"/>
  <c r="BE9" i="51"/>
  <c r="BE5" i="51" s="1"/>
  <c r="BE20" i="44"/>
  <c r="AX9" i="51"/>
  <c r="AX5" i="51" s="1"/>
  <c r="AX20" i="44"/>
  <c r="BF9" i="51"/>
  <c r="BF5" i="51" s="1"/>
  <c r="BF20" i="44"/>
  <c r="BD12" i="51"/>
  <c r="BE29" i="51" s="1"/>
  <c r="AV12" i="51"/>
  <c r="BB12" i="51"/>
  <c r="AW12" i="51"/>
  <c r="BC12" i="51"/>
  <c r="BA12" i="51"/>
  <c r="AZ12" i="51"/>
  <c r="BE12" i="51"/>
  <c r="AU12" i="51"/>
  <c r="AY12" i="51"/>
  <c r="BF12" i="51"/>
  <c r="AX12" i="51"/>
  <c r="BB30" i="51" l="1"/>
  <c r="AY29" i="51"/>
  <c r="AW23" i="51"/>
  <c r="AW26" i="51"/>
  <c r="BE26" i="51"/>
  <c r="BE23" i="51"/>
  <c r="BD29" i="51"/>
  <c r="BF13" i="24"/>
  <c r="AW13" i="24"/>
  <c r="BC13" i="24"/>
  <c r="AV13" i="24"/>
  <c r="AZ29" i="51"/>
  <c r="BC30" i="51"/>
  <c r="AX29" i="51"/>
  <c r="BA30" i="51"/>
  <c r="AX26" i="51"/>
  <c r="AX23" i="51"/>
  <c r="BD26" i="51"/>
  <c r="BD23" i="51"/>
  <c r="AS9" i="51"/>
  <c r="AS5" i="51" s="1"/>
  <c r="AS20" i="44"/>
  <c r="AY30" i="51"/>
  <c r="AV29" i="51"/>
  <c r="AX13" i="24"/>
  <c r="AU13" i="24"/>
  <c r="AY13" i="24"/>
  <c r="AQ9" i="51"/>
  <c r="AQ5" i="51" s="1"/>
  <c r="AQ20" i="44"/>
  <c r="AT9" i="51"/>
  <c r="AT5" i="51" s="1"/>
  <c r="AT20" i="44"/>
  <c r="AY26" i="51"/>
  <c r="AY23" i="51"/>
  <c r="AV26" i="51"/>
  <c r="AY27" i="51"/>
  <c r="AY24" i="51"/>
  <c r="AY37" i="24" s="1"/>
  <c r="AV23" i="51"/>
  <c r="BC27" i="51"/>
  <c r="BD13" i="24"/>
  <c r="BF29" i="51"/>
  <c r="BC29" i="51"/>
  <c r="BF30" i="51"/>
  <c r="AZ9" i="51"/>
  <c r="AZ5" i="51" s="1"/>
  <c r="AZ24" i="51" s="1"/>
  <c r="AZ37" i="24" s="1"/>
  <c r="AZ20" i="44"/>
  <c r="BE13" i="24"/>
  <c r="BA13" i="24"/>
  <c r="BB13" i="24"/>
  <c r="BB29" i="51"/>
  <c r="BE30" i="51"/>
  <c r="AR9" i="51"/>
  <c r="AR5" i="51" s="1"/>
  <c r="AR20" i="44"/>
  <c r="BA29" i="51"/>
  <c r="BD30" i="51"/>
  <c r="AW29" i="51"/>
  <c r="AZ30" i="51"/>
  <c r="BF26" i="51"/>
  <c r="BF23" i="51"/>
  <c r="BE24" i="51"/>
  <c r="BE37" i="24" s="1"/>
  <c r="BB26" i="51"/>
  <c r="BE27" i="51"/>
  <c r="BB23" i="51"/>
  <c r="BF27" i="51"/>
  <c r="BC26" i="51"/>
  <c r="BF24" i="51"/>
  <c r="BF37" i="24" s="1"/>
  <c r="BC23" i="51"/>
  <c r="AZ27" i="51" l="1"/>
  <c r="BB24" i="51"/>
  <c r="BB37" i="24" s="1"/>
  <c r="BA24" i="51"/>
  <c r="BA37" i="24" s="1"/>
  <c r="BF33" i="24"/>
  <c r="AZ23" i="51"/>
  <c r="AQ13" i="24"/>
  <c r="AR23" i="51"/>
  <c r="AU24" i="51"/>
  <c r="AU37" i="24" s="1"/>
  <c r="AR26" i="51"/>
  <c r="AU27" i="51"/>
  <c r="AR13" i="24"/>
  <c r="AS13" i="24"/>
  <c r="AU23" i="51"/>
  <c r="AU26" i="51"/>
  <c r="AX27" i="51"/>
  <c r="AX24" i="51"/>
  <c r="AX37" i="24" s="1"/>
  <c r="AV27" i="51"/>
  <c r="AS26" i="51"/>
  <c r="AS23" i="51"/>
  <c r="AV24" i="51"/>
  <c r="AV37" i="24" s="1"/>
  <c r="BC33" i="24"/>
  <c r="AW24" i="51"/>
  <c r="AW37" i="24" s="1"/>
  <c r="AT23" i="51"/>
  <c r="AT26" i="51"/>
  <c r="AW27" i="51"/>
  <c r="AZ13" i="24"/>
  <c r="BD33" i="24" s="1"/>
  <c r="BB33" i="24"/>
  <c r="BE33" i="24"/>
  <c r="BB27" i="51"/>
  <c r="BD27" i="51"/>
  <c r="BA26" i="51"/>
  <c r="BA23" i="51"/>
  <c r="BD24" i="51"/>
  <c r="BD37" i="24" s="1"/>
  <c r="BC24" i="51"/>
  <c r="BC37" i="24" s="1"/>
  <c r="AY33" i="24"/>
  <c r="AZ26" i="51"/>
  <c r="AT13" i="24"/>
  <c r="AX33" i="24" s="1"/>
  <c r="BA27" i="51"/>
  <c r="AV33" i="24" l="1"/>
  <c r="BA33" i="24"/>
  <c r="AZ33" i="24"/>
  <c r="AW33" i="24"/>
  <c r="AU33" i="24"/>
  <c r="AT12" i="51"/>
  <c r="AS12" i="51"/>
  <c r="AR12" i="51"/>
  <c r="AQ12" i="51"/>
  <c r="AP12" i="51"/>
  <c r="AS29" i="51" l="1"/>
  <c r="AV30" i="51"/>
  <c r="AT29" i="51"/>
  <c r="AW30" i="51"/>
  <c r="AR29" i="51"/>
  <c r="AU30" i="51"/>
  <c r="AX30" i="51"/>
  <c r="AU29" i="51"/>
  <c r="AT30" i="51"/>
  <c r="AR30" i="51"/>
  <c r="AS30" i="51"/>
  <c r="AQ29" i="51"/>
  <c r="AQ30" i="51"/>
  <c r="AP29" i="51"/>
  <c r="AP30" i="51"/>
  <c r="BF41" i="44"/>
  <c r="BF45" i="44" l="1"/>
  <c r="BF47" i="44" s="1"/>
  <c r="BF19" i="24"/>
  <c r="BF41" i="24" s="1"/>
  <c r="BF42" i="24" s="1"/>
  <c r="BF23" i="29" l="1"/>
  <c r="BE41" i="44" l="1"/>
  <c r="BE45" i="44" l="1"/>
  <c r="BE47" i="44" s="1"/>
  <c r="BE19" i="24"/>
  <c r="BE41" i="24" s="1"/>
  <c r="BE42" i="24" s="1"/>
  <c r="BD23" i="29" l="1"/>
  <c r="AW23" i="29" l="1"/>
  <c r="AS23" i="29"/>
  <c r="AX23" i="29"/>
  <c r="AV23" i="29" l="1"/>
  <c r="BC41" i="44" l="1"/>
  <c r="BA41" i="44"/>
  <c r="AU41" i="44"/>
  <c r="AT41" i="44"/>
  <c r="AZ41" i="44"/>
  <c r="AV41" i="44"/>
  <c r="AS41" i="44"/>
  <c r="AP41" i="44"/>
  <c r="AY41" i="44"/>
  <c r="BB41" i="44"/>
  <c r="AR41" i="44"/>
  <c r="AX41" i="44"/>
  <c r="AQ41" i="44"/>
  <c r="AW41" i="44"/>
  <c r="AQ19" i="24" l="1"/>
  <c r="AQ45" i="44"/>
  <c r="AQ47" i="44" s="1"/>
  <c r="AR19" i="24"/>
  <c r="AR45" i="44"/>
  <c r="AR47" i="44" s="1"/>
  <c r="BB19" i="24"/>
  <c r="BB45" i="44"/>
  <c r="BB47" i="44" s="1"/>
  <c r="AZ19" i="24"/>
  <c r="AZ45" i="44"/>
  <c r="AZ47" i="44" s="1"/>
  <c r="AY19" i="24"/>
  <c r="AY45" i="44"/>
  <c r="AY47" i="44" s="1"/>
  <c r="AT19" i="24"/>
  <c r="AT45" i="44"/>
  <c r="AT47" i="44" s="1"/>
  <c r="AP45" i="44"/>
  <c r="AP47" i="44" s="1"/>
  <c r="AP19" i="24"/>
  <c r="AU45" i="44"/>
  <c r="AU47" i="44" s="1"/>
  <c r="AU19" i="24"/>
  <c r="AS45" i="44"/>
  <c r="AS47" i="44" s="1"/>
  <c r="AS19" i="24"/>
  <c r="AW19" i="24"/>
  <c r="AW45" i="44"/>
  <c r="AW47" i="44" s="1"/>
  <c r="AP9" i="51"/>
  <c r="AP5" i="51" s="1"/>
  <c r="AP20" i="44"/>
  <c r="BC45" i="44"/>
  <c r="BC47" i="44" s="1"/>
  <c r="BC19" i="24"/>
  <c r="BC41" i="24" s="1"/>
  <c r="BC42" i="24" s="1"/>
  <c r="AX45" i="44"/>
  <c r="AX47" i="44" s="1"/>
  <c r="AX19" i="24"/>
  <c r="AV19" i="24"/>
  <c r="AV45" i="44"/>
  <c r="AV47" i="44" s="1"/>
  <c r="BA45" i="44"/>
  <c r="BA47" i="44" s="1"/>
  <c r="BA19" i="24"/>
  <c r="AU41" i="24" l="1"/>
  <c r="AU42" i="24" s="1"/>
  <c r="AY34" i="24"/>
  <c r="AZ41" i="24"/>
  <c r="AZ42" i="24" s="1"/>
  <c r="BA41" i="24"/>
  <c r="BA42" i="24" s="1"/>
  <c r="AP13" i="24"/>
  <c r="AR34" i="24"/>
  <c r="AP41" i="24"/>
  <c r="AP42" i="24" s="1"/>
  <c r="AT34" i="24"/>
  <c r="AS34" i="24"/>
  <c r="AQ34" i="24"/>
  <c r="AP34" i="24"/>
  <c r="AP27" i="51"/>
  <c r="AQ23" i="51"/>
  <c r="AQ26" i="51"/>
  <c r="AQ27" i="51"/>
  <c r="AS27" i="51"/>
  <c r="AP26" i="51"/>
  <c r="AT27" i="51"/>
  <c r="AS24" i="51"/>
  <c r="AS37" i="24" s="1"/>
  <c r="AR27" i="51"/>
  <c r="AT24" i="51"/>
  <c r="AT37" i="24" s="1"/>
  <c r="AR24" i="51"/>
  <c r="AR37" i="24" s="1"/>
  <c r="AQ24" i="51"/>
  <c r="AQ37" i="24" s="1"/>
  <c r="AP23" i="51"/>
  <c r="AP24" i="51"/>
  <c r="AP37" i="24" s="1"/>
  <c r="BB41" i="24"/>
  <c r="BB42" i="24" s="1"/>
  <c r="AZ34" i="24"/>
  <c r="AV41" i="24"/>
  <c r="AV42" i="24" s="1"/>
  <c r="BA34" i="24"/>
  <c r="AW41" i="24"/>
  <c r="AW42" i="24" s="1"/>
  <c r="AX34" i="24"/>
  <c r="AT41" i="24"/>
  <c r="AT42" i="24" s="1"/>
  <c r="AV34" i="24"/>
  <c r="AR41" i="24"/>
  <c r="AR42" i="24" s="1"/>
  <c r="BB34" i="24"/>
  <c r="AX41" i="24"/>
  <c r="AX42" i="24" s="1"/>
  <c r="AS41" i="24"/>
  <c r="AS42" i="24" s="1"/>
  <c r="AW34" i="24"/>
  <c r="AY41" i="24"/>
  <c r="AY42" i="24" s="1"/>
  <c r="BC34" i="24"/>
  <c r="AQ41" i="24"/>
  <c r="AQ42" i="24" s="1"/>
  <c r="AU34" i="24"/>
  <c r="BD41" i="44"/>
  <c r="BD45" i="44" l="1"/>
  <c r="BD47" i="44" s="1"/>
  <c r="BD19" i="24"/>
  <c r="AT33" i="24"/>
  <c r="AR33" i="24"/>
  <c r="AQ33" i="24"/>
  <c r="AS33" i="24"/>
  <c r="AP33" i="24"/>
  <c r="BD41" i="24" l="1"/>
  <c r="BD42" i="24" s="1"/>
  <c r="BE34" i="24"/>
  <c r="BF34" i="24"/>
  <c r="BD34" i="24"/>
  <c r="BF27" i="29" l="1"/>
  <c r="BE23" i="29" l="1"/>
  <c r="BE27" i="29" l="1"/>
  <c r="BD27" i="29" l="1"/>
  <c r="BA23" i="29" l="1"/>
  <c r="BB23" i="29"/>
  <c r="AZ23" i="29"/>
  <c r="BC23" i="29"/>
  <c r="AY23" i="29"/>
  <c r="BC27" i="29" l="1"/>
  <c r="BB27" i="29" l="1"/>
  <c r="BA27" i="29" l="1"/>
  <c r="AZ27" i="29" l="1"/>
  <c r="AR23" i="29" l="1"/>
  <c r="AQ23" i="29" l="1"/>
  <c r="AY27" i="29" l="1"/>
  <c r="AU23" i="29" l="1"/>
  <c r="AV27" i="29" l="1"/>
  <c r="AX27" i="29"/>
  <c r="AT23" i="29"/>
  <c r="AS27" i="29"/>
  <c r="AU27" i="29"/>
  <c r="AW27" i="29"/>
  <c r="AT27" i="29" l="1"/>
  <c r="AQ27" i="29"/>
  <c r="AR27" i="29"/>
</calcChain>
</file>

<file path=xl/comments1.xml><?xml version="1.0" encoding="utf-8"?>
<comments xmlns="http://schemas.openxmlformats.org/spreadsheetml/2006/main">
  <authors>
    <author>Author</author>
  </authors>
  <commentList>
    <comment ref="G11" authorId="0" shapeId="0">
      <text>
        <r>
          <rPr>
            <sz val="8"/>
            <color indexed="81"/>
            <rFont val="Tahoma"/>
            <family val="2"/>
            <charset val="238"/>
          </rPr>
          <t>Do końca 2007 roku Bank kalkulował bazę kapitałową oraz wymogi kapitałowe zgodnie z postanowieniami Basel I.
Począwszy od roku 2008 kalkulacja współczynnika odbywała się w oparciu o postanowienia Basel II.
By the end of 2007, the Bank had calculated capital base and capital requirements in accordance  with the provisions of Basel I.
Starting from2008, the rate calculation was based on the provisions of Basel II.</t>
        </r>
      </text>
    </comment>
    <comment ref="V11" authorId="0" shapeId="0">
      <text>
        <r>
          <rPr>
            <sz val="8"/>
            <color indexed="81"/>
            <rFont val="Tahoma"/>
            <family val="2"/>
            <charset val="238"/>
          </rPr>
          <t>Począwszy od grudnia 2011 Bank kalkuluje bazę kapitałową oraz wymóg kapitałowy z tytułu ryzyka kredytowego z wykorzystaniem metody zaawansowanej AIRB (wcześniej SA). 
W okresie przejściowym (do połowy roku 2013) w przypadku gdy wymóg kapitałowy z tytułu ryzyka kredytowego wg metody AIRB był niższy niż wg metody SA do obliczenia przyjmowało się metodę SA, przy czym bazę kapitałową (fundusze własne) przyjmowało się wg metody AIRB.
As of December 2011 the Bank calculates the capital base and capital requirement for credit risk using an advanced method AIRB (formerly SA).
During the transitional period (until mid-2013) for the capital requirement for credit risk computed with AIRB being lower than the capital requirement for credit risk computed using SA, the Bank should use in calculation SA method, while the capital base (own funds) should be met by AIRB.</t>
        </r>
      </text>
    </comment>
    <comment ref="AE11" authorId="0" shapeId="0">
      <text>
        <r>
          <rPr>
            <sz val="8"/>
            <color indexed="81"/>
            <rFont val="Tahoma"/>
            <family val="2"/>
            <charset val="238"/>
          </rPr>
          <t>Począwszy od roku 2014 kalkulacja łącznego współczynnika kapitałowego (dawniej  współczynnik wypłacalności) odbywa się w oparciu o postanowienia Basel III, z uwzględnieniem tzw. opcji narodowych według stanu dotychczasowego (np. wagi ryzyka dla kredytów hipotecznych).
Starting from 2014, the total capital ratio (solvency ratio previously) calculation is based on the provisions of Basel III, taking account of the so-called national options to-date (e.g. risk weights for mortgage loans).</t>
        </r>
      </text>
    </comment>
  </commentList>
</comments>
</file>

<file path=xl/sharedStrings.xml><?xml version="1.0" encoding="utf-8"?>
<sst xmlns="http://schemas.openxmlformats.org/spreadsheetml/2006/main" count="6349" uniqueCount="964">
  <si>
    <t xml:space="preserve"> - Koszty odsetek</t>
  </si>
  <si>
    <t>Wynik z tytułu odsetek</t>
  </si>
  <si>
    <t xml:space="preserve"> - Przychody z tytułu prowizji</t>
  </si>
  <si>
    <t xml:space="preserve"> - Koszty prowizji</t>
  </si>
  <si>
    <t>Wynik z tytułu prowizji</t>
  </si>
  <si>
    <t>Wynik na działalności podstawowej</t>
  </si>
  <si>
    <t xml:space="preserve">Zysk (strata) brutto </t>
  </si>
  <si>
    <t xml:space="preserve"> - Podatek dochodowy </t>
  </si>
  <si>
    <t>Zysk (strata) netto</t>
  </si>
  <si>
    <t xml:space="preserve">   - przypadający akcjonariuszom niekontrolującym</t>
  </si>
  <si>
    <t>SKONSOLIDOWANY RACHUNEK ZYSKÓW I STRAT
Grupy Kapitałowej ING Banku Śląskiego S.A.</t>
  </si>
  <si>
    <t>(w mln zł)</t>
  </si>
  <si>
    <t>A K T Y W A</t>
  </si>
  <si>
    <t xml:space="preserve">   - Kasa, środki w Banku Centralnym </t>
  </si>
  <si>
    <t xml:space="preserve">   - Kredyty i inne należności udzielone innym bankom</t>
  </si>
  <si>
    <t xml:space="preserve">   - Pochodne instrumenty zabezpieczające</t>
  </si>
  <si>
    <t xml:space="preserve">   - Inne aktywa </t>
  </si>
  <si>
    <t>A k t y w a   r a z e m</t>
  </si>
  <si>
    <t>Z O B O W I Ą Z A N I A   I   K A P I T A Ł Y</t>
  </si>
  <si>
    <t>ZOBOWIĄZANIA</t>
  </si>
  <si>
    <t xml:space="preserve">   - Zobowiązania wobec innych banków</t>
  </si>
  <si>
    <t xml:space="preserve">   - Zobowiązania finansowe wyceniane do wartości godziwej przez rachunek zysków i strat</t>
  </si>
  <si>
    <t xml:space="preserve">   - Zobowiązania wobec klientów</t>
  </si>
  <si>
    <t xml:space="preserve">   - Rezerwy </t>
  </si>
  <si>
    <t xml:space="preserve">   - Inne zobowiązania </t>
  </si>
  <si>
    <t xml:space="preserve">Z o b o w i ą z a n i a  o g ó ł e m </t>
  </si>
  <si>
    <t xml:space="preserve">KAPITAŁY </t>
  </si>
  <si>
    <t xml:space="preserve">   - Kapitał zapasowy - nadwyżka ze sprzedaży akcji powyżej ich wartości nominalnej</t>
  </si>
  <si>
    <t xml:space="preserve">   - Zyski zatrzymane</t>
  </si>
  <si>
    <t>Kapitał własny przypadający akcjonariuszom ING Banku Śląskiego S.A.</t>
  </si>
  <si>
    <t xml:space="preserve">   - Udziały niekontrolujące</t>
  </si>
  <si>
    <t>K a p i t a ł y  w ł a s n e  o g ó ł e m</t>
  </si>
  <si>
    <t>Z o b o w i ą z a n i a  i  k a p i t a ł  w ł a s n y   r a z e m</t>
  </si>
  <si>
    <t>SKONSOLIDOWANE SPRAWOZDANIE Z SYTUACJI FINANSOWEJ
Grupy Kapitałowej ING Banku Śląskiego S.A.</t>
  </si>
  <si>
    <t>SKONSOLIDOWANY RACHUNEK ZYSKÓW I STRAT
Segment klientów detalicznych</t>
  </si>
  <si>
    <t>Przychody ogółem*</t>
  </si>
  <si>
    <t>Koszty ogółem</t>
  </si>
  <si>
    <t>*/ włączając udział w zyskach netto jednostek stowarzyszonych wykazywanych metodą praw własności</t>
  </si>
  <si>
    <t>SKONSOLIDOWANY RACHUNEK ZYSKÓW I STRAT
Segment bankowości korporacyjnej</t>
  </si>
  <si>
    <t>Razem przychody z tytułu odsetek</t>
  </si>
  <si>
    <t xml:space="preserve"> - wynik odsetkowy na instrumentach pochodnych</t>
  </si>
  <si>
    <t xml:space="preserve"> - inne</t>
  </si>
  <si>
    <t>Koszty odsetek</t>
  </si>
  <si>
    <t xml:space="preserve"> - odsetki od zobowiązań wobec innych banków</t>
  </si>
  <si>
    <t xml:space="preserve"> - odsetki od zobowiązań wobec klientów</t>
  </si>
  <si>
    <t>Razem koszty odsetek</t>
  </si>
  <si>
    <t xml:space="preserve">Wynik z tytułu prowizji </t>
  </si>
  <si>
    <t xml:space="preserve">Przychody z tytułu prowizji </t>
  </si>
  <si>
    <t>Razem przychody z tytułu prowizji</t>
  </si>
  <si>
    <t xml:space="preserve"> - marża transakcyjna na transakcjach wymiany walut</t>
  </si>
  <si>
    <t xml:space="preserve"> - pozostałe prowizje</t>
  </si>
  <si>
    <t xml:space="preserve">Koszty prowizji </t>
  </si>
  <si>
    <t>Wynik na instrumentach finansowych wycenianych przez rachunek zysków i strat oraz wynik z pozycji wymiany</t>
  </si>
  <si>
    <t>Wynik - pozostałe</t>
  </si>
  <si>
    <t xml:space="preserve">     - Wynik na instrumentach dłużnych</t>
  </si>
  <si>
    <t>Wynik z tytułu aktywów i zobowiązań finansowych wycenianych wg wartości godziwej przy początkowym ujęciu, w tym:</t>
  </si>
  <si>
    <t>Wynik na instrumentach kapitałowych dostępnych do sprzedaży</t>
  </si>
  <si>
    <t>Wynik na instrumentach dłużnych dostępnych do sprzedaży</t>
  </si>
  <si>
    <t>Przychody z tytułu dywidend</t>
  </si>
  <si>
    <t>Wynik na inwestycjach</t>
  </si>
  <si>
    <t>Rachunkowość zabezpieczeń wartości godziwej papierów wartościowych</t>
  </si>
  <si>
    <t>Rachunkowość zabezpieczeń przepływów pieniężnych</t>
  </si>
  <si>
    <t>Razem</t>
  </si>
  <si>
    <t xml:space="preserve">     - wycena transakcji zabezpieczanej </t>
  </si>
  <si>
    <t xml:space="preserve">     - wycena transakcji zabezpieczającej</t>
  </si>
  <si>
    <t xml:space="preserve">     - nieefektywność wynikająca z zabezpieczeń przepływów pieniężnych</t>
  </si>
  <si>
    <t>Wynik na rachunkowości zabezpieczeń</t>
  </si>
  <si>
    <t>Aktywa finansowe</t>
  </si>
  <si>
    <t>Aktywa finansowe przeznaczone do obrotu, w tym:</t>
  </si>
  <si>
    <t xml:space="preserve">     - instrumenty dłużne</t>
  </si>
  <si>
    <t xml:space="preserve">     - instrumenty kapitałowe</t>
  </si>
  <si>
    <t xml:space="preserve">     - transakcje z przyrzeczeniem odkupu (buy-sell-back)</t>
  </si>
  <si>
    <t>Aktywa finansowe dostępne do sprzedaży, w tym:</t>
  </si>
  <si>
    <t>Aktywa finansowe utrzymywane do terminu wymagalności, w tym:</t>
  </si>
  <si>
    <t>Kredyty i inne należności udzielone klientom</t>
  </si>
  <si>
    <t>Należności leasingowe</t>
  </si>
  <si>
    <t>Należności faktoringowe</t>
  </si>
  <si>
    <t>Pozostałe należności</t>
  </si>
  <si>
    <t>Razem (brutto)</t>
  </si>
  <si>
    <t>Odpis aktualizujący z tytułu utraty wartości, w tym:</t>
  </si>
  <si>
    <t xml:space="preserve">     - dotyczący kredytów i pożyczek</t>
  </si>
  <si>
    <t xml:space="preserve">     - dotyczący należności leasingowych</t>
  </si>
  <si>
    <t xml:space="preserve">     - dotyczący należności faktoringowych</t>
  </si>
  <si>
    <t>Kredyty i inne należności udzielone innym niż banki podmiotom sektora finansowego</t>
  </si>
  <si>
    <t>Kredyty i pożyczki, w tym:</t>
  </si>
  <si>
    <t xml:space="preserve">     - w rachunku bieżącym</t>
  </si>
  <si>
    <t xml:space="preserve">     - terminowe</t>
  </si>
  <si>
    <t>Razem (netto)</t>
  </si>
  <si>
    <t>Kredyty i inne należności udzielone podmiotom sektora niefinansowego</t>
  </si>
  <si>
    <t xml:space="preserve">     - dotyczący pozostałych należności</t>
  </si>
  <si>
    <t>Kredyty i inne należności udzielone podmiotom sektora instytucji rządowych i samorządowych</t>
  </si>
  <si>
    <t>Kredyty i inne należności udzielone klientom (netto), w tym:</t>
  </si>
  <si>
    <t xml:space="preserve">   - udzielone innym niż banki podmiotom sektora finansowego</t>
  </si>
  <si>
    <t xml:space="preserve">   - udzielone podmiotom sektora niefinansowego</t>
  </si>
  <si>
    <t xml:space="preserve">   - udzielone podmiotom sektora instytucji rządowych i samorządowych</t>
  </si>
  <si>
    <t>Działalność korporacyjna</t>
  </si>
  <si>
    <t>Zaangażowanie</t>
  </si>
  <si>
    <t xml:space="preserve">   - portfel bez przesłanki utraty wartości</t>
  </si>
  <si>
    <t xml:space="preserve">   - portfel z przesłanką utraty wartości</t>
  </si>
  <si>
    <t>Odpis aktualizujący z tytułu utraty wartości i rezerwy</t>
  </si>
  <si>
    <t xml:space="preserve">   - odpis dotyczący portfela bez przesłanki utraty wartości</t>
  </si>
  <si>
    <t xml:space="preserve">   - odpis dotyczący portfela z przesłanką utraty wartości</t>
  </si>
  <si>
    <t xml:space="preserve">   - rezerwy na zobowiązania pozabilansowe</t>
  </si>
  <si>
    <t>Działalność detaliczna</t>
  </si>
  <si>
    <t xml:space="preserve">   - dotyczący portfela bez przesłanki utraty wartości</t>
  </si>
  <si>
    <t xml:space="preserve">   - dotyczący portfela z przesłanką utraty wartości</t>
  </si>
  <si>
    <t>Zaangażowanie ogółem</t>
  </si>
  <si>
    <t>Odpis aktualizujący z tytułu utraty wartości i rezerwy ogółem, w tym:</t>
  </si>
  <si>
    <t xml:space="preserve">     - odpis aktualizujący z tytułu utraty wartości</t>
  </si>
  <si>
    <t xml:space="preserve">     - rezerwy na zobowiązania pozabilansowe</t>
  </si>
  <si>
    <t>Współczynnik pokrycia portfela ogółem</t>
  </si>
  <si>
    <t>Depozyty</t>
  </si>
  <si>
    <t>Pozostałe zobowiązania</t>
  </si>
  <si>
    <t>Zobowiązania wobec innych niż banki podmiotów sektora finansowego</t>
  </si>
  <si>
    <t>Depozyty, w tym:</t>
  </si>
  <si>
    <t xml:space="preserve">     - rachunki bieżące</t>
  </si>
  <si>
    <t xml:space="preserve">     - rachunki terminowe</t>
  </si>
  <si>
    <t xml:space="preserve">Razem </t>
  </si>
  <si>
    <t>Zobowiązania wobec podmiotów sektora niefinansowego</t>
  </si>
  <si>
    <t>Zobowiązania wobec podmiotów sektora instytucji rządowych i samorządowych</t>
  </si>
  <si>
    <t>Zobowiązania wobec klientów</t>
  </si>
  <si>
    <t>Razem zobowiązania wobec klientów, w tym:</t>
  </si>
  <si>
    <t xml:space="preserve">     - wobec innych niż banki podmiotów sektora finansowego</t>
  </si>
  <si>
    <t xml:space="preserve">     - wobec podmiotów sektora niefinansowego</t>
  </si>
  <si>
    <t xml:space="preserve">     - wobec podmiotów sektora instytucji rządowych i samorządowych</t>
  </si>
  <si>
    <t>Pozostałe informacje</t>
  </si>
  <si>
    <t>Zatrudnienie</t>
  </si>
  <si>
    <t xml:space="preserve"> - Zatrudnienie w Grupie Kapitałowej ING Banku Śląskiego S.A.</t>
  </si>
  <si>
    <t xml:space="preserve"> - Zatrudnienie w ING Banku Śląskim S.A.</t>
  </si>
  <si>
    <t>Liczba placówek Banku</t>
  </si>
  <si>
    <t>Karty płatnicze, z czego:</t>
  </si>
  <si>
    <t>Karty bankowe (w tys.)</t>
  </si>
  <si>
    <t>Koszty ryzyka</t>
  </si>
  <si>
    <t>Zysk brutto</t>
  </si>
  <si>
    <t>Suma bilansowa</t>
  </si>
  <si>
    <t>Zysk netto/Kapitały (ROE) w %</t>
  </si>
  <si>
    <t>Koszty/Dochody w %</t>
  </si>
  <si>
    <t>Zysk na 1 akcję w zł</t>
  </si>
  <si>
    <t>Liczba placówek</t>
  </si>
  <si>
    <t>Liczba pracowników</t>
  </si>
  <si>
    <t>Kluczowe informacje finansowe i biznesowe</t>
  </si>
  <si>
    <t>Podstawowe wskaźniki:</t>
  </si>
  <si>
    <t xml:space="preserve">Informacje dla inwestorów i akcjonariuszy: </t>
  </si>
  <si>
    <t>Kapitalizacja giełdowa</t>
  </si>
  <si>
    <t>Wynik finansowy:</t>
  </si>
  <si>
    <t>Wartość księgowa</t>
  </si>
  <si>
    <t>Kurs akcji w zł</t>
  </si>
  <si>
    <t>Pozostałe dane ilościowe:</t>
  </si>
  <si>
    <t>Wartość księgowa na jedną akcję w zł</t>
  </si>
  <si>
    <t>1Q</t>
  </si>
  <si>
    <t>2Q</t>
  </si>
  <si>
    <t>3Q</t>
  </si>
  <si>
    <t>4Q</t>
  </si>
  <si>
    <t>CONSOLIDATED INCOME STATEMENT
of the ING Bank Śląski Group S.A.</t>
  </si>
  <si>
    <t>(PLN million)</t>
  </si>
  <si>
    <t xml:space="preserve"> - Interest income</t>
  </si>
  <si>
    <t xml:space="preserve"> - Interest expenses</t>
  </si>
  <si>
    <t>Net interest income</t>
  </si>
  <si>
    <t xml:space="preserve"> - Commission income</t>
  </si>
  <si>
    <t xml:space="preserve"> - Commission expenses</t>
  </si>
  <si>
    <t>Net commission income</t>
  </si>
  <si>
    <t>Result on basic activities</t>
  </si>
  <si>
    <t xml:space="preserve"> - General and administrative expenses</t>
  </si>
  <si>
    <t xml:space="preserve"> - Impairment losses and provisions for off-balance sheet liabilities</t>
  </si>
  <si>
    <t xml:space="preserve"> - Share in net profit (loss) of associated entities recognised under the equity method</t>
  </si>
  <si>
    <t>Profit (loss) before tax</t>
  </si>
  <si>
    <t xml:space="preserve"> - Income tax</t>
  </si>
  <si>
    <t>Net profit (loss) from continuing operations</t>
  </si>
  <si>
    <t xml:space="preserve"> - attributable to non-controlling interests</t>
  </si>
  <si>
    <t>CONSOLIDATED INCOME STATEMENT
Retail customers segment</t>
  </si>
  <si>
    <t>Revenue total*</t>
  </si>
  <si>
    <t>Share in net profit (loss) of associated entities recognised under the equity method</t>
  </si>
  <si>
    <t>Expenses total</t>
  </si>
  <si>
    <t>Risk cost</t>
  </si>
  <si>
    <t>*/ including the share in net profit of affiliated units shown using the method of ownership rights</t>
  </si>
  <si>
    <t>CONSOLIDATED STATEMENT OF FINANCIAL POSITION
of the ING Bank Śląski Group S.A.</t>
  </si>
  <si>
    <t xml:space="preserve"> - Cash in hand and balances with the Central Bank</t>
  </si>
  <si>
    <t xml:space="preserve"> - Loans and receivables to other banks</t>
  </si>
  <si>
    <t xml:space="preserve"> - Investments</t>
  </si>
  <si>
    <t xml:space="preserve"> - Derivative hedge instruments</t>
  </si>
  <si>
    <t xml:space="preserve"> - Investments in controlled entities recognised under the equity method</t>
  </si>
  <si>
    <t xml:space="preserve"> - Investment real estates</t>
  </si>
  <si>
    <t xml:space="preserve"> - Property, plant and equipment</t>
  </si>
  <si>
    <t xml:space="preserve"> - Intangible assets</t>
  </si>
  <si>
    <t xml:space="preserve"> - Property, plant and equipment held for sale</t>
  </si>
  <si>
    <t xml:space="preserve"> - Current income tax assets</t>
  </si>
  <si>
    <t xml:space="preserve"> - Deferred tax assets</t>
  </si>
  <si>
    <t xml:space="preserve"> - Other assets</t>
  </si>
  <si>
    <t>T o t a l   a s s e t s</t>
  </si>
  <si>
    <t>A S S E T S</t>
  </si>
  <si>
    <t>E Q U I T Y   A N D   L I A B I L I T I E S</t>
  </si>
  <si>
    <t>LIABILITIES</t>
  </si>
  <si>
    <t xml:space="preserve"> - Liabilities due to other banks</t>
  </si>
  <si>
    <t xml:space="preserve"> - Financial liabilities measured at fair value through profit and loss</t>
  </si>
  <si>
    <t xml:space="preserve"> - Liabilities due to customers</t>
  </si>
  <si>
    <t xml:space="preserve"> - Provisions</t>
  </si>
  <si>
    <t xml:space="preserve"> - Current income tax liabilities</t>
  </si>
  <si>
    <t xml:space="preserve"> - Deferred tax provision</t>
  </si>
  <si>
    <t xml:space="preserve"> - Other liabilities</t>
  </si>
  <si>
    <t>T o t a l   l i a b i l i t i e s</t>
  </si>
  <si>
    <t>EQUITY</t>
  </si>
  <si>
    <t xml:space="preserve"> - Share capital</t>
  </si>
  <si>
    <t xml:space="preserve"> - Supplementary capital - issuance of shares over nominal value</t>
  </si>
  <si>
    <t xml:space="preserve"> - Retained earnings</t>
  </si>
  <si>
    <t>Equity attributable to shareholders of ING Bank Śląski S.A.</t>
  </si>
  <si>
    <t xml:space="preserve"> - Non-controlling interests</t>
  </si>
  <si>
    <t>T o t a l   e q u i t y</t>
  </si>
  <si>
    <t>T o t a l   e q u i t y   a n d   l i a b i l i t i e s</t>
  </si>
  <si>
    <t xml:space="preserve"> - other</t>
  </si>
  <si>
    <t>Total interest income</t>
  </si>
  <si>
    <t>Interest expenses</t>
  </si>
  <si>
    <t>Total interest expenses</t>
  </si>
  <si>
    <t xml:space="preserve"> - commission related to brokerage activity</t>
  </si>
  <si>
    <t xml:space="preserve"> - commission related to keeping accounts</t>
  </si>
  <si>
    <t xml:space="preserve"> - commission related to loans</t>
  </si>
  <si>
    <t xml:space="preserve"> - commission related to distribution of participation units</t>
  </si>
  <si>
    <t xml:space="preserve"> - fiduciary and custodian fees</t>
  </si>
  <si>
    <t xml:space="preserve"> - commission related to factoring agreements</t>
  </si>
  <si>
    <t xml:space="preserve"> - foreign commercial business</t>
  </si>
  <si>
    <t xml:space="preserve"> - commission related to subscription of structured products</t>
  </si>
  <si>
    <t xml:space="preserve"> - the transaction margin on currency exchange transactions</t>
  </si>
  <si>
    <t xml:space="preserve"> - Net income on debt instruments</t>
  </si>
  <si>
    <t>Net income on financial assets and liabilities measured at fair value upon initial recognition, of which:</t>
  </si>
  <si>
    <t>Net income on equity instruments available-for-sale</t>
  </si>
  <si>
    <t>Net income on debt instruments available-for-sale</t>
  </si>
  <si>
    <t>Dividend income</t>
  </si>
  <si>
    <t>Net income on investments</t>
  </si>
  <si>
    <t>Fair value hedge accounting for securities</t>
  </si>
  <si>
    <t xml:space="preserve"> - valuation of the hedged transaction</t>
  </si>
  <si>
    <t xml:space="preserve"> - valuation of the hedging transaction</t>
  </si>
  <si>
    <t>Cash flow hedge accounting</t>
  </si>
  <si>
    <t xml:space="preserve"> - ineffectiveness that arises from cash flow hedges</t>
  </si>
  <si>
    <t>Net income on hedge accounting</t>
  </si>
  <si>
    <t>Net income - other</t>
  </si>
  <si>
    <t>Financial assets</t>
  </si>
  <si>
    <t>Financial assets held for trading, of which:</t>
  </si>
  <si>
    <t xml:space="preserve"> - debt instruments</t>
  </si>
  <si>
    <t xml:space="preserve"> - equity instruments</t>
  </si>
  <si>
    <t xml:space="preserve"> - buy-sell-back transactions</t>
  </si>
  <si>
    <t>Available-for-sale financial assets, of which:</t>
  </si>
  <si>
    <t>Held-to-maturity financial assets, of which:</t>
  </si>
  <si>
    <t>Loans and receivables to customers</t>
  </si>
  <si>
    <t>Leasing receivables</t>
  </si>
  <si>
    <t>Factoring receivables</t>
  </si>
  <si>
    <t>Other receivables</t>
  </si>
  <si>
    <t>Total loans and receivables to customers (gross)</t>
  </si>
  <si>
    <t>Impairment losses, of which:</t>
  </si>
  <si>
    <t xml:space="preserve"> - concerning loans and advances</t>
  </si>
  <si>
    <t xml:space="preserve"> - concerning other receivables</t>
  </si>
  <si>
    <t>Total loans and receivables to customers (net), of which:</t>
  </si>
  <si>
    <t>Loans and other receivables to entities from the financial sector other than banks</t>
  </si>
  <si>
    <t>Loans and advances, of which:</t>
  </si>
  <si>
    <t xml:space="preserve"> - in the current account</t>
  </si>
  <si>
    <t xml:space="preserve"> - term ones</t>
  </si>
  <si>
    <t>Total (gross)</t>
  </si>
  <si>
    <t>Total (net)</t>
  </si>
  <si>
    <t>Loans and other receivables to entities from the non-financial sector</t>
  </si>
  <si>
    <t>Loans and other receivables to entities from the government and self-government institutions’ sector</t>
  </si>
  <si>
    <t>Corporate activity</t>
  </si>
  <si>
    <t>Exposure</t>
  </si>
  <si>
    <t xml:space="preserve"> - impaired</t>
  </si>
  <si>
    <t>Impairment losses and provisions</t>
  </si>
  <si>
    <t xml:space="preserve"> - related to unimpaired portfolio</t>
  </si>
  <si>
    <t xml:space="preserve"> - related to impaired portfolio</t>
  </si>
  <si>
    <t xml:space="preserve"> - provisions for off-balance sheet liabilities</t>
  </si>
  <si>
    <t/>
  </si>
  <si>
    <t>Impaired portfolio coverage ratio (%)</t>
  </si>
  <si>
    <t>Retail activity</t>
  </si>
  <si>
    <t>Total exposure</t>
  </si>
  <si>
    <t>Impairment losses and total provisions, of which:</t>
  </si>
  <si>
    <t xml:space="preserve"> - impairment losses</t>
  </si>
  <si>
    <t>Total portfolio coverage ratio</t>
  </si>
  <si>
    <t>Liabilities due to customers</t>
  </si>
  <si>
    <t>Deposits</t>
  </si>
  <si>
    <t>Other liabilities</t>
  </si>
  <si>
    <t>Total liabilities due to customers, of which:</t>
  </si>
  <si>
    <t>Liabilities due to entities from the financial sector other than banks</t>
  </si>
  <si>
    <t xml:space="preserve"> - current accounts</t>
  </si>
  <si>
    <t>Total</t>
  </si>
  <si>
    <t>Liabilities due to entities from the non-financial sector</t>
  </si>
  <si>
    <t>Liabilities due to entities from the government and self-government institutions’ sector</t>
  </si>
  <si>
    <t>Other information</t>
  </si>
  <si>
    <t>Headcount</t>
  </si>
  <si>
    <t xml:space="preserve"> - The headcount in the Capital Group</t>
  </si>
  <si>
    <t xml:space="preserve">     - Individuals</t>
  </si>
  <si>
    <t xml:space="preserve">     - FTEs</t>
  </si>
  <si>
    <t xml:space="preserve"> - The headcount in the ING Bank Śląski S.A.</t>
  </si>
  <si>
    <t>Number of outlets</t>
  </si>
  <si>
    <t>Banking cards (in thousands)</t>
  </si>
  <si>
    <t>Payment cards, of which:</t>
  </si>
  <si>
    <t xml:space="preserve"> - Debit cards</t>
  </si>
  <si>
    <t xml:space="preserve"> - Credit cards</t>
  </si>
  <si>
    <t xml:space="preserve"> - Other cards</t>
  </si>
  <si>
    <t>Key financial and business information</t>
  </si>
  <si>
    <t>Gross profit</t>
  </si>
  <si>
    <t>Number of retail clients in thousands</t>
  </si>
  <si>
    <t>Number of employees</t>
  </si>
  <si>
    <t>Earnings per 1 share in PLN</t>
  </si>
  <si>
    <t>Net profit/ Balance sheet total (ROA) as %</t>
  </si>
  <si>
    <t>Net profit/ Equity (ROE) as %</t>
  </si>
  <si>
    <t>Cost /Income ratio (C/I) as %</t>
  </si>
  <si>
    <t>Balance sheet total</t>
  </si>
  <si>
    <t>BS:</t>
  </si>
  <si>
    <t>P&amp;L:</t>
  </si>
  <si>
    <t xml:space="preserve">     Loans</t>
  </si>
  <si>
    <t xml:space="preserve">     Leasing receivables</t>
  </si>
  <si>
    <t xml:space="preserve">     Factoring receivables</t>
  </si>
  <si>
    <t>Basic ratios:</t>
  </si>
  <si>
    <t>Other quantitative data:</t>
  </si>
  <si>
    <t>Net book value</t>
  </si>
  <si>
    <t>Information for investors and shareholders:</t>
  </si>
  <si>
    <t>Share price in PLN</t>
  </si>
  <si>
    <t>Net book value per share in PLN</t>
  </si>
  <si>
    <t>Market capitalisation</t>
  </si>
  <si>
    <t>Net income on financial instruments measured at fair value through profit or loss and FX result</t>
  </si>
  <si>
    <t>Result before risk costs</t>
  </si>
  <si>
    <t>Profit before tax</t>
  </si>
  <si>
    <t>Share of the impaired portfolio (%)</t>
  </si>
  <si>
    <t xml:space="preserve">   Personnel expenses</t>
  </si>
  <si>
    <t xml:space="preserve">   Depreciation</t>
  </si>
  <si>
    <t xml:space="preserve">   Other</t>
  </si>
  <si>
    <t xml:space="preserve"> - liabilities due to entities from the financial sector other than banks</t>
  </si>
  <si>
    <t xml:space="preserve"> - liabilities due to entities from the non-financial sector</t>
  </si>
  <si>
    <t xml:space="preserve"> - liabilities due to entities from the government and self-government
institutions’ sector</t>
  </si>
  <si>
    <t xml:space="preserve"> - loans and other receivables to entities from the financial sector
other than banks</t>
  </si>
  <si>
    <t xml:space="preserve"> - loans and other receivables to entities from the non-financial sector</t>
  </si>
  <si>
    <t xml:space="preserve"> - loans and other receivables to entities from the government
and self-government institutions’ sector</t>
  </si>
  <si>
    <t xml:space="preserve">   Kredyty </t>
  </si>
  <si>
    <t xml:space="preserve">   Należności leasingowe</t>
  </si>
  <si>
    <t xml:space="preserve">   Należności faktoringowe</t>
  </si>
  <si>
    <t>Zysk netto/suma bilansowa (ROA) w %</t>
  </si>
  <si>
    <t>Koszty/Dochody w % - narastająco</t>
  </si>
  <si>
    <t>-</t>
  </si>
  <si>
    <t xml:space="preserve"> - Wynik na inwestycjach</t>
  </si>
  <si>
    <t xml:space="preserve"> - Wynik na rachunkowości zabezpieczeń</t>
  </si>
  <si>
    <t xml:space="preserve"> - Wynik na pozostałej działalności podstawowej</t>
  </si>
  <si>
    <t xml:space="preserve"> - Koszty działania banku </t>
  </si>
  <si>
    <t xml:space="preserve">   - przypadający akcjonariuszom ING Banku Śląskiego S.A.</t>
  </si>
  <si>
    <t>udział w zyskach (stratach) netto jednostek stowarzyszonych wykazywanych metodą praw własności</t>
  </si>
  <si>
    <t>Wynik segmentu</t>
  </si>
  <si>
    <t>koszty ryzyka</t>
  </si>
  <si>
    <t>Wynik segmentu z uwzględnieniem kosztów ryzyka (wynik finansowy brutto)</t>
  </si>
  <si>
    <t xml:space="preserve">     - Wynik na wycenie lokat desygnowanych do wyceny według wartości godziwej</t>
  </si>
  <si>
    <t>Pozostałe</t>
  </si>
  <si>
    <t>Other</t>
  </si>
  <si>
    <t xml:space="preserve">   - Zobowiązania wobec Banku Centralnego</t>
  </si>
  <si>
    <t>Udział portfela zagrożonego utratą wartości bankowości korporacyjnej</t>
  </si>
  <si>
    <t>Współczynnik pokrycia portfela zagrożonego utratą wartości</t>
  </si>
  <si>
    <t>Udział portfela zagrożonego utratą wartości bankowości detalicznej</t>
  </si>
  <si>
    <t>Udział portfela zagrożonego utratą wartości</t>
  </si>
  <si>
    <t xml:space="preserve">     - lokaty</t>
  </si>
  <si>
    <t xml:space="preserve"> - term deposits</t>
  </si>
  <si>
    <t xml:space="preserve">     - w osobach</t>
  </si>
  <si>
    <t xml:space="preserve">     - w etatach</t>
  </si>
  <si>
    <t xml:space="preserve">     - karty debetowe</t>
  </si>
  <si>
    <t xml:space="preserve">     - karty kredytowe</t>
  </si>
  <si>
    <t xml:space="preserve">     - karty pozostałe</t>
  </si>
  <si>
    <t>FUNDUSZE WŁASNE</t>
  </si>
  <si>
    <t>A. Kapitały własne ze sprawozdania z sytuacji finansowej, w tym:</t>
  </si>
  <si>
    <t>B. Pozostałe składniki (pomniejszenia i zwiększenia) funduszy własnych, w tym:</t>
  </si>
  <si>
    <t xml:space="preserve">     B.I. Pozostałe składniki funduszy podstawowych:</t>
  </si>
  <si>
    <t xml:space="preserve">            - wartości niematerialne</t>
  </si>
  <si>
    <t xml:space="preserve">     B.II. Pozostałe składniki funduszy uzupełniających:</t>
  </si>
  <si>
    <t>WYMOGI KAPITAŁOWE</t>
  </si>
  <si>
    <t xml:space="preserve">   - Wymóg kapitałowy z tytułu ryzyka rozliczenia - dostawy</t>
  </si>
  <si>
    <t xml:space="preserve">   - Wymóg kapitałowy z tytułu ryzyka operacyjnego</t>
  </si>
  <si>
    <t xml:space="preserve">   - Wymóg kapitałowy z tytułu ryzyka ogólnego stóp procentowych</t>
  </si>
  <si>
    <t xml:space="preserve">   - Wymóg kapitałowy z tytułu przekroczenia limitu koncentracji zaangażowań </t>
  </si>
  <si>
    <t>Całkowity wymóg kapitałowy obliczony z zastosowaniem metody zaawansowanej (AIRB) do kalkulacji wymogu na ryzyko kredytowe</t>
  </si>
  <si>
    <t>Całkowity wymóg kapitałowy obliczony z zastosowaniem metody standardowej (SA) do kalkulacji wymogu na ryzyko kredytowe</t>
  </si>
  <si>
    <t>Dane bilansowe:</t>
  </si>
  <si>
    <t xml:space="preserve"> - Liabilities due to the Central Bank</t>
  </si>
  <si>
    <t xml:space="preserve"> - Net income on the measurement of the deposits designated to be measured at their fair value</t>
  </si>
  <si>
    <t>A. Own equity in the statement of financial position, of which:</t>
  </si>
  <si>
    <t>B. Other elements of own funds (decreases and increases), of which:</t>
  </si>
  <si>
    <t xml:space="preserve">     B.I. Other elements of tier 1 capital:</t>
  </si>
  <si>
    <t xml:space="preserve">     B.II. Other elements of tier 2 capital:</t>
  </si>
  <si>
    <t>CAPITAL REQUIREMENTS</t>
  </si>
  <si>
    <t xml:space="preserve">   - Capital requirement for the risk of settlement - delivery</t>
  </si>
  <si>
    <t xml:space="preserve">   - Capital requirement for operational risk</t>
  </si>
  <si>
    <t xml:space="preserve">   - Capital requirement for general interest rate risk</t>
  </si>
  <si>
    <t xml:space="preserve">   - Capital requirement due to exposure concentration limit overrun</t>
  </si>
  <si>
    <t xml:space="preserve"> - deposits</t>
  </si>
  <si>
    <t>Total capital requirement computed with Advanced Internal Rating-Based method (AIRB) for calculation of the credit risk requirement</t>
  </si>
  <si>
    <t>Total capital requirement computed with Standard Approach (SA) for calculation of the credit risk requirement</t>
  </si>
  <si>
    <t>TIER 1  ratio (SA)</t>
  </si>
  <si>
    <t>Cost /Income ratio (C/I) as % - cumulatively</t>
  </si>
  <si>
    <t>CONSOLIDATED INCOME STATEMENT
Corporate customers segment</t>
  </si>
  <si>
    <t>Net fees &amp; commission income</t>
  </si>
  <si>
    <t>Fees and commission income</t>
  </si>
  <si>
    <t>Total fees and comission income</t>
  </si>
  <si>
    <t>1Q - N/A</t>
  </si>
  <si>
    <t xml:space="preserve">1Q </t>
  </si>
  <si>
    <t>2007 - N/A</t>
  </si>
  <si>
    <t xml:space="preserve">Uwagi: </t>
  </si>
  <si>
    <t xml:space="preserve">Notes: </t>
  </si>
  <si>
    <t>OWN FUNDS</t>
  </si>
  <si>
    <t xml:space="preserve">     B.III. Kapitał krótkoterminowy</t>
  </si>
  <si>
    <t xml:space="preserve"> - odsetki od zobowiązań z tytułu emisji papierów wartościowych</t>
  </si>
  <si>
    <t>Impairment losses</t>
  </si>
  <si>
    <t>Odpisy z tytułu trwałej utraty wartości</t>
  </si>
  <si>
    <t xml:space="preserve">   - Zobowiązania z tytułu emisji papierów wartościowych</t>
  </si>
  <si>
    <t xml:space="preserve"> - Liabilities under issue of debt securities</t>
  </si>
  <si>
    <t xml:space="preserve">            - intangible assets</t>
  </si>
  <si>
    <t xml:space="preserve">     B.III. Tier 3 (short-term) capital</t>
  </si>
  <si>
    <t xml:space="preserve"> - odsetki od zobowiązań finansowych przeznaczonych do obrotu</t>
  </si>
  <si>
    <t xml:space="preserve"> - prowadzenie rachunków klientów</t>
  </si>
  <si>
    <t xml:space="preserve"> - udzielanie kredytów</t>
  </si>
  <si>
    <t xml:space="preserve"> - dystrybucja jednostek uczestnictwa</t>
  </si>
  <si>
    <t xml:space="preserve"> - działalność maklerska</t>
  </si>
  <si>
    <t xml:space="preserve"> - działalność powiernicza</t>
  </si>
  <si>
    <t xml:space="preserve"> - usługi faktoringowe i leasingowe</t>
  </si>
  <si>
    <t xml:space="preserve"> - subskrypcja depozytów strukturyzowanych</t>
  </si>
  <si>
    <t xml:space="preserve"> - odsetki od aktywów finansowych dostepnych do sprzedaży</t>
  </si>
  <si>
    <t xml:space="preserve"> - odsetki od aktywów finansowych przeznaczonych do obrotu</t>
  </si>
  <si>
    <t xml:space="preserve"> - odsetki od aktywów finansowych utrzymywanych do terminu wymagalności</t>
  </si>
  <si>
    <t xml:space="preserve"> - odsetki od aktywów finansowych desygnowanych do wyceny do wartości godziwej przy początkowym ujęciu</t>
  </si>
  <si>
    <t xml:space="preserve">     - transakcje z przyrzeczeniem odkupu</t>
  </si>
  <si>
    <t>Współczynnik TIER 1</t>
  </si>
  <si>
    <t>Współczynnik TIER 1 - metoda standardowa (SA)</t>
  </si>
  <si>
    <t xml:space="preserve"> - oferowanie produktów ubezpieczeniowych</t>
  </si>
  <si>
    <t xml:space="preserve"> - commission related to insurance product offering</t>
  </si>
  <si>
    <t xml:space="preserve"> - repo transactions</t>
  </si>
  <si>
    <t>TIER 1 ratio</t>
  </si>
  <si>
    <t>Comparable data pro-forma</t>
  </si>
  <si>
    <t>Dane porównywalne pro-forma</t>
  </si>
  <si>
    <t xml:space="preserve">   - Uzupełnienie do ogólnego poziomu wymogów kapitałowych</t>
  </si>
  <si>
    <t>Podmioty gospodarcze, w tym:</t>
  </si>
  <si>
    <t xml:space="preserve"> - Depozyty, w tym:</t>
  </si>
  <si>
    <t xml:space="preserve"> - Pozostałe zobowiązania</t>
  </si>
  <si>
    <t>Gospodarstwa domowe, w tym:</t>
  </si>
  <si>
    <t>Euroobligacje</t>
  </si>
  <si>
    <t xml:space="preserve"> - Kredyty i pożyczki, w tym:</t>
  </si>
  <si>
    <t xml:space="preserve"> - Należności leasingowe</t>
  </si>
  <si>
    <t xml:space="preserve"> - Należności faktoringowe</t>
  </si>
  <si>
    <t xml:space="preserve"> - Pozostałe należności</t>
  </si>
  <si>
    <t xml:space="preserve"> - Podmioty gospodarcze, w tym:</t>
  </si>
  <si>
    <t xml:space="preserve"> - Gospodarstwa domowe, w tym:</t>
  </si>
  <si>
    <t>Portfel kredytowy, w tym:</t>
  </si>
  <si>
    <t xml:space="preserve"> - Kredyty i pożyczki</t>
  </si>
  <si>
    <t>Inne należności, w tym:</t>
  </si>
  <si>
    <t xml:space="preserve"> - Euroobligacje</t>
  </si>
  <si>
    <t xml:space="preserve"> - dotyczący portfela kredytowego, w tym:</t>
  </si>
  <si>
    <t xml:space="preserve">          - dotyczący kredytów i pożyczek</t>
  </si>
  <si>
    <t xml:space="preserve">          - dotyczący należności leasingowych</t>
  </si>
  <si>
    <t xml:space="preserve">          - dotyczący należności faktoringowych</t>
  </si>
  <si>
    <t>Portfolio of loans and receivables, of which:</t>
  </si>
  <si>
    <t xml:space="preserve"> - Loans and advances</t>
  </si>
  <si>
    <t xml:space="preserve"> - Leasing  receivables</t>
  </si>
  <si>
    <t xml:space="preserve"> - Factoring  receivables</t>
  </si>
  <si>
    <t>Other receivables, of which:</t>
  </si>
  <si>
    <t xml:space="preserve"> - T-eurobonds  </t>
  </si>
  <si>
    <t xml:space="preserve"> - Other</t>
  </si>
  <si>
    <t xml:space="preserve"> - concerning portfolio of loans and receivables, of which:</t>
  </si>
  <si>
    <t xml:space="preserve">          - concerning loans and advances</t>
  </si>
  <si>
    <t xml:space="preserve">          - concerning leasing receivables</t>
  </si>
  <si>
    <t xml:space="preserve">          - concerning factoring receivables</t>
  </si>
  <si>
    <t>Business entities, of which:</t>
  </si>
  <si>
    <t xml:space="preserve">     - in the current account</t>
  </si>
  <si>
    <t xml:space="preserve">     - term ones</t>
  </si>
  <si>
    <t>Households, of which:</t>
  </si>
  <si>
    <t xml:space="preserve"> - Business entities, of which:</t>
  </si>
  <si>
    <t xml:space="preserve"> - Households, of which:</t>
  </si>
  <si>
    <t xml:space="preserve"> - Loans and advances, of which:</t>
  </si>
  <si>
    <t xml:space="preserve"> - Other receivables</t>
  </si>
  <si>
    <t xml:space="preserve">     - concerning loans and advances</t>
  </si>
  <si>
    <t xml:space="preserve">     - concerning leasing receivables</t>
  </si>
  <si>
    <t xml:space="preserve">     - concerning factoring receivables</t>
  </si>
  <si>
    <t xml:space="preserve">     - concerning other receivables</t>
  </si>
  <si>
    <t>Leasing  receivables</t>
  </si>
  <si>
    <t>Factoring  receivables</t>
  </si>
  <si>
    <t>T-eurobonds</t>
  </si>
  <si>
    <t xml:space="preserve"> - Deposits, of which:</t>
  </si>
  <si>
    <t xml:space="preserve">     - current accounts</t>
  </si>
  <si>
    <t xml:space="preserve">   - Supplement to the overall level of capital requirements</t>
  </si>
  <si>
    <t>Łączny współczynnik kapitałowy</t>
  </si>
  <si>
    <t>Łączny współczynnik kapitałowy - metoda standardowa (SA)</t>
  </si>
  <si>
    <t>Fundusze własne przyjęte do kalkulacji łącznego współczynnika kapitałowego według metody zaawansowanej (AIRB)</t>
  </si>
  <si>
    <t xml:space="preserve">   - Fundusze własne podstawowe - Tier 1</t>
  </si>
  <si>
    <t xml:space="preserve">   - Fundusze własne uzupełniające - Tier 2</t>
  </si>
  <si>
    <t xml:space="preserve">   - Kapitał krótkoterminowy - Tier 3</t>
  </si>
  <si>
    <t>Fundusze własne przyjęte do kalkulacji łącznego współczynnika kapitałowego według metody standardowej (SA)</t>
  </si>
  <si>
    <t>Total capital ratio</t>
  </si>
  <si>
    <t>Total capital ratio (SA)</t>
  </si>
  <si>
    <t xml:space="preserve">            - zaangażowania kapitałowe banku w instytucje finansowe</t>
  </si>
  <si>
    <t xml:space="preserve">            - capital commitments in financial institutions</t>
  </si>
  <si>
    <t xml:space="preserve">            - amount of expected losses - only in AIRB method</t>
  </si>
  <si>
    <t>Own funds taken into account in total capital ratio calculation according to advanced method (AIRB)
(A.I. + A.II. + B.I. + B.II.), of which:</t>
  </si>
  <si>
    <t>Own funds taken into account in total capital ratio calculation according to standard method (SA)
(A.I. + A.II. + B.I. + B.II.), of which:</t>
  </si>
  <si>
    <t xml:space="preserve">   - Tier 3 (short-term) capital</t>
  </si>
  <si>
    <t xml:space="preserve">   - Tier 2 capital</t>
  </si>
  <si>
    <t xml:space="preserve">   - Tier 1 capital</t>
  </si>
  <si>
    <t>Total capital ratio (consolidated) as %</t>
  </si>
  <si>
    <t>Łączny współczynnik kapitałowy skonsolidowany w %</t>
  </si>
  <si>
    <t>Total capital ratio (standalone) as %</t>
  </si>
  <si>
    <t>Łączny współczynnik kapitałowy jednostkowy w %</t>
  </si>
  <si>
    <t xml:space="preserve">   - Inwestycje w jednostki stowarzyszone wyceniane metodą praw własności</t>
  </si>
  <si>
    <t xml:space="preserve">   - Aktywa trwałe przeznaczone do sprzedaży </t>
  </si>
  <si>
    <t xml:space="preserve">            - niedobór/nadwyżka korekt z tytułu ryzyka kredytowego wobec oczekiwanych strat według metody AIRB</t>
  </si>
  <si>
    <t xml:space="preserve">     - rachunki terminowe i oszczędnościowe</t>
  </si>
  <si>
    <t xml:space="preserve">     - term deposit and saving accounts</t>
  </si>
  <si>
    <t xml:space="preserve"> - Wynik na instrumentach finansowych wycenianych przez rachunek zysków i strat oraz wynik z pozycji wymiany</t>
  </si>
  <si>
    <t xml:space="preserve"> - Udział w zyskach netto jednostek stowarzyszonych wycenianych metodą praw własności</t>
  </si>
  <si>
    <t>Fees and commission expenses</t>
  </si>
  <si>
    <t xml:space="preserve">     - dotyczący euroobligacji</t>
  </si>
  <si>
    <t xml:space="preserve">          - dotyczący euroobligacji</t>
  </si>
  <si>
    <t xml:space="preserve">          - dotyczący pozostałych należności</t>
  </si>
  <si>
    <t xml:space="preserve"> - dotyczący pozostałych należności, w tym:</t>
  </si>
  <si>
    <t xml:space="preserve">          - concerning T-eurobonds  </t>
  </si>
  <si>
    <t xml:space="preserve">          - concerning other receivables</t>
  </si>
  <si>
    <t xml:space="preserve">     - concerning T-eurobonds  </t>
  </si>
  <si>
    <t xml:space="preserve"> - zagraniczne operacje handlowe</t>
  </si>
  <si>
    <t>Dłużne papiery wartościowe (noty)</t>
  </si>
  <si>
    <t xml:space="preserve">     - dotyczący dłużnych papierów wartościowych</t>
  </si>
  <si>
    <t xml:space="preserve"> - Dłużne papiery wartościowe (korporacyjne i komunalne)</t>
  </si>
  <si>
    <t xml:space="preserve">          - dotyczący dłużnych papierów wartościowych (korporacyjnych i komunalnych)</t>
  </si>
  <si>
    <t xml:space="preserve"> - Dłużne papiery wartościowe (obligacje korporacyjne i noty)</t>
  </si>
  <si>
    <t>Dłużne papiery wartościowe (obligacje komunalne)</t>
  </si>
  <si>
    <t xml:space="preserve">     - dotyczący dłużnych papierów wartościowych (obligacji komunalnych)</t>
  </si>
  <si>
    <t xml:space="preserve"> - Debt securities (corporate and municipal)</t>
  </si>
  <si>
    <t xml:space="preserve">          - concerning debt securities (corporate and municipal)</t>
  </si>
  <si>
    <t>Debt securities (notes)</t>
  </si>
  <si>
    <t xml:space="preserve"> - concerning debt securities</t>
  </si>
  <si>
    <t xml:space="preserve"> - Debt securities (corporate bonds and notes)</t>
  </si>
  <si>
    <t xml:space="preserve">     - concerning debt securities</t>
  </si>
  <si>
    <t>Debt securities (municipal bonds)</t>
  </si>
  <si>
    <t xml:space="preserve">     - concerning debt securities (municipal bonds)</t>
  </si>
  <si>
    <t>Łączny współczynnik kapitałowy - skonsolidowany</t>
  </si>
  <si>
    <t>Total capital ratio - consolidated</t>
  </si>
  <si>
    <t>- odsetki od zobowiązań podporządkowanych</t>
  </si>
  <si>
    <t>podatek od niektórych instytucji finansowych</t>
  </si>
  <si>
    <t xml:space="preserve">   - Zobowiązania podporządkowane</t>
  </si>
  <si>
    <t xml:space="preserve"> - Tax on certain financial institutions</t>
  </si>
  <si>
    <t>Tax on certain financial institutions</t>
  </si>
  <si>
    <t xml:space="preserve"> - Subordinated liabilities</t>
  </si>
  <si>
    <t xml:space="preserve">            - zobowiązania podporządkowane</t>
  </si>
  <si>
    <t xml:space="preserve">            - subordinated liabilities</t>
  </si>
  <si>
    <r>
      <t>Dane porównywalne pro-forma</t>
    </r>
    <r>
      <rPr>
        <b/>
        <sz val="10"/>
        <color indexed="12"/>
        <rFont val="Arial"/>
        <family val="2"/>
        <charset val="238"/>
      </rPr>
      <t/>
    </r>
  </si>
  <si>
    <r>
      <t>Comparable data pro-forma</t>
    </r>
    <r>
      <rPr>
        <b/>
        <sz val="10"/>
        <color indexed="12"/>
        <rFont val="Arial"/>
        <family val="2"/>
        <charset val="238"/>
      </rPr>
      <t/>
    </r>
  </si>
  <si>
    <r>
      <t>Comparable data pro-forma</t>
    </r>
    <r>
      <rPr>
        <b/>
        <sz val="12"/>
        <color indexed="12"/>
        <rFont val="Arial"/>
        <family val="2"/>
        <charset val="238"/>
      </rPr>
      <t/>
    </r>
  </si>
  <si>
    <t>Koszty</t>
  </si>
  <si>
    <t>Costs</t>
  </si>
  <si>
    <r>
      <rPr>
        <b/>
        <sz val="12"/>
        <color indexed="10"/>
        <rFont val="ING Me"/>
        <charset val="238"/>
      </rPr>
      <t>Comparable data pro-forma</t>
    </r>
    <r>
      <rPr>
        <b/>
        <sz val="10"/>
        <color indexed="10"/>
        <rFont val="ING Me"/>
        <charset val="238"/>
      </rPr>
      <t xml:space="preserve">
</t>
    </r>
    <r>
      <rPr>
        <b/>
        <sz val="10"/>
        <color indexed="12"/>
        <rFont val="ING Me"/>
        <charset val="238"/>
      </rPr>
      <t>NOTE! - change in the layout</t>
    </r>
    <r>
      <rPr>
        <b/>
        <sz val="12"/>
        <color indexed="12"/>
        <rFont val="ING Me"/>
        <charset val="238"/>
      </rPr>
      <t xml:space="preserve">
</t>
    </r>
    <r>
      <rPr>
        <i/>
        <u/>
        <sz val="8"/>
        <color indexed="12"/>
        <rFont val="ING Me"/>
        <charset val="238"/>
      </rPr>
      <t>Row 25 added</t>
    </r>
  </si>
  <si>
    <t xml:space="preserve"> - Przychody z tytułu odsetek w tym</t>
  </si>
  <si>
    <t xml:space="preserve">    pozostałe przychody odsetkowe</t>
  </si>
  <si>
    <t>Przychody odsetkowe od aktywów wycenianych w zamortyzowanym koszcie w tym:</t>
  </si>
  <si>
    <t xml:space="preserve"> - odsetki od kredytów i innych należności udzielonych innym bankom wycenianych zamortyzowanym kosztem</t>
  </si>
  <si>
    <t xml:space="preserve"> - odsetki od papierów wartościowych wycenianych zamortyzowanym kosztem</t>
  </si>
  <si>
    <t xml:space="preserve"> - odsetki od kredytów i innych należności udzielonych klientom wycenianych do wartości godziwej przez rachunek zysków i strat</t>
  </si>
  <si>
    <t xml:space="preserve"> - odsetki od papierów wartościowych wycenianych przez inne całkowite dochody</t>
  </si>
  <si>
    <t>Wynik na sprzedaży papierów wartościowych wycenianych wg zamortyzowanego kosztu</t>
  </si>
  <si>
    <t>Wynik na sprzedaży papierów wartościowych wycenianych w wartości godziwej przez inne całkowite dochody</t>
  </si>
  <si>
    <t>Pozostałe przychody odsetkowe tym</t>
  </si>
  <si>
    <t>Operating costs</t>
  </si>
  <si>
    <t>Koszty działania</t>
  </si>
  <si>
    <t>Koszty działania, w tym:</t>
  </si>
  <si>
    <t>Operating costs, of which:</t>
  </si>
  <si>
    <t xml:space="preserve">     - Personnel costs</t>
  </si>
  <si>
    <t xml:space="preserve">     - General and administrative costs</t>
  </si>
  <si>
    <t xml:space="preserve">     - Marketing and promotion costs</t>
  </si>
  <si>
    <t xml:space="preserve">     A.I. Kapitały własne ujęte w funduszach własnych</t>
  </si>
  <si>
    <t xml:space="preserve">     A.II. Kapitały własne nie ujęte w wyliczeniu funduszy własnych</t>
  </si>
  <si>
    <t xml:space="preserve">     A.I. Own equity included in own funds</t>
  </si>
  <si>
    <t xml:space="preserve">     A.II. Own equity excluded from own funds calculation</t>
  </si>
  <si>
    <t xml:space="preserve">           -    korekta w okresie przejściowym z tytułu dostosowania do wymogów MSSF 9</t>
  </si>
  <si>
    <t xml:space="preserve">            - adjustment in the transitional period due to adaptation to IFRS 9 requirements</t>
  </si>
  <si>
    <t xml:space="preserve">            - value adjustments due to the requirements for prudent valuation</t>
  </si>
  <si>
    <t>Total capital ratio (AIRB) - phase-in for IFRS 9</t>
  </si>
  <si>
    <t>Total capital ratio (AIRB) - fully loaded for IFRS 9</t>
  </si>
  <si>
    <t>Łączny współczynnik kapitałowy - metoda zaawansowana (AIRB) - bez okresu przejściowego dla MSSF 9</t>
  </si>
  <si>
    <t>TIER 1  ratio (AIRB) - phase-in for IFRS 9</t>
  </si>
  <si>
    <t>TIER 1  ratio (AIRB) - fully loaded for IFRS 9</t>
  </si>
  <si>
    <t>Współczynnik TIER 1 - metoda zaawansowana (AIRB) - bez okresu przejściowego dla MSSF 9</t>
  </si>
  <si>
    <t>Łączny współczynnik kapitałowy - metoda zaawansowana (AIRB) - z okresem przejściowym dla MSSF 9</t>
  </si>
  <si>
    <t>Współczynnik TIER 1 - metoda zaawansowana (AIRB) - z okresem przejściowym dla MSSF 9</t>
  </si>
  <si>
    <t xml:space="preserve">   - Inwestycyjne papiery wartościowe</t>
  </si>
  <si>
    <t xml:space="preserve">   - Nieruchomości inwestycyjne</t>
  </si>
  <si>
    <t xml:space="preserve">   - Rzeczowe aktywa trwałe</t>
  </si>
  <si>
    <t xml:space="preserve">   - Wartości niematerialne</t>
  </si>
  <si>
    <t xml:space="preserve">   - Aktywa z tytułu odroczonego podatku dochodowego</t>
  </si>
  <si>
    <t xml:space="preserve">   - Aktywa z tytułu bieżącego podatku dochodowego</t>
  </si>
  <si>
    <t xml:space="preserve">   - Rezerwa z tytułu odroczonego podatku dochodowego</t>
  </si>
  <si>
    <t xml:space="preserve">   - Zobowiązanie z tytułu bieżącego podatku dochodowego</t>
  </si>
  <si>
    <t xml:space="preserve">   - Kapitał akcyjny</t>
  </si>
  <si>
    <t xml:space="preserve"> - Accumulated other comprehensive income</t>
  </si>
  <si>
    <t xml:space="preserve">   - Skumulowane inne całkowite dochody</t>
  </si>
  <si>
    <t>Loans and other receivables to customers</t>
  </si>
  <si>
    <t>Measured at amortised cost</t>
  </si>
  <si>
    <t>Wyceniane wg zamortyzowanego kosztu</t>
  </si>
  <si>
    <t>Measured at fair value through profit or loss</t>
  </si>
  <si>
    <t>Wyceniane do wartości godziwej przez rachunek zysków i strat</t>
  </si>
  <si>
    <t>Loans and other receivables measured at amortised cost</t>
  </si>
  <si>
    <t>Kredyty i inne należności wyceniane wg zamortyzowanego kosztu</t>
  </si>
  <si>
    <t>Households</t>
  </si>
  <si>
    <t>Gospodarstwa domowe</t>
  </si>
  <si>
    <t>Business entities</t>
  </si>
  <si>
    <t>Podmioty gospodarcze</t>
  </si>
  <si>
    <t>The government and self-government institutions’ sector</t>
  </si>
  <si>
    <t>Sektor instytucji rządowych i samorządowych</t>
  </si>
  <si>
    <t>Total, including:</t>
  </si>
  <si>
    <t>Razem, w tym:</t>
  </si>
  <si>
    <t>Corporate banking segment</t>
  </si>
  <si>
    <t>Bankowość korporacyjna</t>
  </si>
  <si>
    <t>loans in the current account</t>
  </si>
  <si>
    <t>kredyty w rachunku bieżącym</t>
  </si>
  <si>
    <t>term loans and advances</t>
  </si>
  <si>
    <t>kredyty i pożyczki terminowe</t>
  </si>
  <si>
    <t>leasing receivables</t>
  </si>
  <si>
    <t>należności leasingowe</t>
  </si>
  <si>
    <t>factoring receivables</t>
  </si>
  <si>
    <t>należności faktoringowe</t>
  </si>
  <si>
    <t>corporate and municipal securities</t>
  </si>
  <si>
    <t>papiery wartościowe komercyjne i komunalne</t>
  </si>
  <si>
    <t>Retail banking segment</t>
  </si>
  <si>
    <t>Bankowość detaliczna</t>
  </si>
  <si>
    <t>mortgages</t>
  </si>
  <si>
    <t>kredyty i pożyczki hipoteczne</t>
  </si>
  <si>
    <t>other loans and advances</t>
  </si>
  <si>
    <t>pozostałe kredyty i pożyczki</t>
  </si>
  <si>
    <t>euroobligacje (obligacje Skarbu Państwa)</t>
  </si>
  <si>
    <t>complex call deposits</t>
  </si>
  <si>
    <t>złożone depozyty zabezpieczające typu call</t>
  </si>
  <si>
    <t>receivables under repo transactions</t>
  </si>
  <si>
    <t>należności z tytułu transakcji z przyrzeczeniem odkupu</t>
  </si>
  <si>
    <t>pozostałe należności</t>
  </si>
  <si>
    <t xml:space="preserve">     - wycena instrumentów pochodnych</t>
  </si>
  <si>
    <t xml:space="preserve"> - valuation of derivatives</t>
  </si>
  <si>
    <t xml:space="preserve"> - financial assets designated as at fair value upon initial recognition, of which:</t>
  </si>
  <si>
    <t xml:space="preserve">     - aktywa finansowe desygnowane do wyceny do wartości godziwej przy początkowym ujęciu, w tym:</t>
  </si>
  <si>
    <t>Total financial assets held for trading</t>
  </si>
  <si>
    <t>Razem aktywa finansowe przeznaczone do obrotu</t>
  </si>
  <si>
    <t>Measured at fair value through other comprehensive income, including:</t>
  </si>
  <si>
    <t>Wyceniane do wartości godziwiej przez inne całkowite dochody, w tym:</t>
  </si>
  <si>
    <t>Measured at amortised cost, including:</t>
  </si>
  <si>
    <t>Wyceniane wg zamortyzowanego kosztu, w tym:</t>
  </si>
  <si>
    <t>Total investment securities</t>
  </si>
  <si>
    <t>Razem inwestycyjne papiery wartościowe</t>
  </si>
  <si>
    <t>Liabilities to customers, including:</t>
  </si>
  <si>
    <t>Zobowiązania wobec klientów, w tym:</t>
  </si>
  <si>
    <t>Deposits, including:</t>
  </si>
  <si>
    <t>Total (gross), including:</t>
  </si>
  <si>
    <t>Razem (brutto), w tym:</t>
  </si>
  <si>
    <t>current deposits</t>
  </si>
  <si>
    <t>depozyty bieżące</t>
  </si>
  <si>
    <t>savings deposits</t>
  </si>
  <si>
    <t>depozyty oszczędnościowe</t>
  </si>
  <si>
    <t>term deposits</t>
  </si>
  <si>
    <t>depozyty terminowe</t>
  </si>
  <si>
    <t>Other liabilities, including:</t>
  </si>
  <si>
    <t>Pozostałe zobowiązania, w tym:</t>
  </si>
  <si>
    <t>liabilities for cash security</t>
  </si>
  <si>
    <t>zobowiązania z tytułu zabezpieczeń pieniężnych</t>
  </si>
  <si>
    <t>Recived call deposits</t>
  </si>
  <si>
    <t>przyjęte depozyty zabezpieczające typu call</t>
  </si>
  <si>
    <t>repo liabilities</t>
  </si>
  <si>
    <t>zobowiązania z tytułu transakcji z przyrzeczeniem odkupu</t>
  </si>
  <si>
    <t>other liabilities</t>
  </si>
  <si>
    <t>pozostałe zobowiązania</t>
  </si>
  <si>
    <t>Quality of loan portfolio under IFRS 9</t>
  </si>
  <si>
    <t>Jakość portfela kredytowego wg MSSF 9</t>
  </si>
  <si>
    <t>Gross amount</t>
  </si>
  <si>
    <t>Wartość brutto</t>
  </si>
  <si>
    <t xml:space="preserve">   - aktywa w etapie 1</t>
  </si>
  <si>
    <t xml:space="preserve">   - aktywa w etapie 2</t>
  </si>
  <si>
    <t xml:space="preserve">   - aktywa w etapie 3</t>
  </si>
  <si>
    <t>Impairment for expected losses</t>
  </si>
  <si>
    <t>Odpis z tytułu strat oczekiwanych</t>
  </si>
  <si>
    <t xml:space="preserve">   - na aktywa w etapie 1</t>
  </si>
  <si>
    <t xml:space="preserve">   - na aktywa w etapie 2</t>
  </si>
  <si>
    <t xml:space="preserve">   - na aktywa w etapie 3</t>
  </si>
  <si>
    <t>Net amount</t>
  </si>
  <si>
    <t>Wartość netto</t>
  </si>
  <si>
    <t>Ogółem</t>
  </si>
  <si>
    <t>Udział aktywów w etapie 1</t>
  </si>
  <si>
    <t>Udział aktywów w etapie 2</t>
  </si>
  <si>
    <t>Pokrycie odpisem aktywów w etapie 1</t>
  </si>
  <si>
    <t>Pokrycie odpisem aktywów w etapie 2</t>
  </si>
  <si>
    <t>Quality of portfolio of loans and advances under IAS 39</t>
  </si>
  <si>
    <t>Jakość portfela kredytów i pożyczek wg MSR 39</t>
  </si>
  <si>
    <t xml:space="preserve"> - unimpaired (IBNR – incurred but not reported)</t>
  </si>
  <si>
    <t xml:space="preserve">    przychody odsetkowe od aktywów wycenianych wg zamortyzowanego kosztu</t>
  </si>
  <si>
    <t xml:space="preserve"> - Odpisy na utratę wartości aktywów finansowych i rezerwy na zobowiązania pozabilansowe</t>
  </si>
  <si>
    <t xml:space="preserve"> - Net profit (loss) attributable to shareholders of ING Bank Śląski S.A.</t>
  </si>
  <si>
    <t xml:space="preserve"> - Net income on financial instruments measured at fair value through profit or loss and FX result</t>
  </si>
  <si>
    <t xml:space="preserve">   koszty osobowe</t>
  </si>
  <si>
    <t xml:space="preserve">   amortyzacja</t>
  </si>
  <si>
    <t xml:space="preserve">   pozostałe</t>
  </si>
  <si>
    <t xml:space="preserve">    Interest income on assets measured at amortised cost</t>
  </si>
  <si>
    <t xml:space="preserve">    Other interest income</t>
  </si>
  <si>
    <t xml:space="preserve"> - Net income on investments</t>
  </si>
  <si>
    <t xml:space="preserve"> - Net income on hedge accounting</t>
  </si>
  <si>
    <t xml:space="preserve"> - Net income on other basic activities</t>
  </si>
  <si>
    <t xml:space="preserve">   Net interest income</t>
  </si>
  <si>
    <t xml:space="preserve">   Net commission income</t>
  </si>
  <si>
    <t xml:space="preserve">   Other income/expenses</t>
  </si>
  <si>
    <t xml:space="preserve">   Share in net profit (loss) of associated entities recognised under the equity method</t>
  </si>
  <si>
    <t xml:space="preserve">   wynik z tytułu odsetek</t>
  </si>
  <si>
    <t xml:space="preserve">   wynik z tytułu prowizji</t>
  </si>
  <si>
    <t xml:space="preserve">   pozostałe przychody/koszty</t>
  </si>
  <si>
    <t xml:space="preserve">   udział w zyskach (stratach) netto jednostek stowarzyszonych wykazywanych metodą praw własności</t>
  </si>
  <si>
    <t xml:space="preserve"> -</t>
  </si>
  <si>
    <t xml:space="preserve"> - Interest on loans and receivables to other banks measured at amortised cost</t>
  </si>
  <si>
    <t xml:space="preserve"> - Interest on loans and receivables to customers measured at amortised cost</t>
  </si>
  <si>
    <t xml:space="preserve"> - Interest on securities measured at amortised cost</t>
  </si>
  <si>
    <t>Interest income on assets measured at amortised cost, including:</t>
  </si>
  <si>
    <t>Other interest income, including:</t>
  </si>
  <si>
    <t xml:space="preserve"> - Interest on securities measured through other comprehensive income</t>
  </si>
  <si>
    <t xml:space="preserve"> - Interest on available-for-sale debt securities</t>
  </si>
  <si>
    <t xml:space="preserve"> - Interest on debt securities held for trading</t>
  </si>
  <si>
    <t xml:space="preserve"> - Interest on held-to-maturity debt securities</t>
  </si>
  <si>
    <t xml:space="preserve"> - Interest on debt securities designated as fair value at initial recognition</t>
  </si>
  <si>
    <t xml:space="preserve"> - Net interest result on derivatives</t>
  </si>
  <si>
    <t xml:space="preserve"> - Interest on deposits from banks</t>
  </si>
  <si>
    <t xml:space="preserve"> - Interest on deposits from customers</t>
  </si>
  <si>
    <t xml:space="preserve"> - Interest on issue of debt securities</t>
  </si>
  <si>
    <t xml:space="preserve"> - Interest on financial liabilities held for trading</t>
  </si>
  <si>
    <t xml:space="preserve"> - Interest on subordinated liabilities</t>
  </si>
  <si>
    <t>Net income on the sale of securities measured at amortised cost</t>
  </si>
  <si>
    <t>Net income on the sale of securities measured at fair value through other comprehensive income</t>
  </si>
  <si>
    <t xml:space="preserve">     - koszty osobowe</t>
  </si>
  <si>
    <t xml:space="preserve">     - koszty działania i ogólnego zarządu</t>
  </si>
  <si>
    <t xml:space="preserve">     - amortyzacja</t>
  </si>
  <si>
    <t xml:space="preserve">     - koszty merketingu i promocji</t>
  </si>
  <si>
    <t>Eurobonds (T-bonds)</t>
  </si>
  <si>
    <t>other receivables</t>
  </si>
  <si>
    <t>[MSR 39 / IAS 39]</t>
  </si>
  <si>
    <t>[MSSF 9 / IFRS 9]</t>
  </si>
  <si>
    <t>Kredyty i inne należności brutto wyceniane wg zamortyzowanego kosztu, w tym:</t>
  </si>
  <si>
    <t>Gross loans and other receivables measured at amortised cost, including:</t>
  </si>
  <si>
    <t>Portfolio of gross loans, including:</t>
  </si>
  <si>
    <t>Portfel kredytowy brutto, w tym:</t>
  </si>
  <si>
    <t>Inne należności brutto, w tym:</t>
  </si>
  <si>
    <t>Net loans and other receivables measured at amortised cost, including:</t>
  </si>
  <si>
    <t>Kredyty i inne należności netto wyceniane wg zamortyzowanego kosztu, w tym:</t>
  </si>
  <si>
    <t>Portfolio of net loans, including:</t>
  </si>
  <si>
    <t>Portfel kredytowy netto, w tym:</t>
  </si>
  <si>
    <t>Inne należności netto, w tym:</t>
  </si>
  <si>
    <t>Odpis na kredyty i inne należności wyceniane wg zamortyzowanego kosztu, w tym:</t>
  </si>
  <si>
    <t>Odpis na portfel kredytowy, w tym:</t>
  </si>
  <si>
    <t>Odpis na inne należności, w tym:</t>
  </si>
  <si>
    <t>Impairment on other receivables, including:</t>
  </si>
  <si>
    <t>Impairment on loans and other receivables measured at amortised cost, including:</t>
  </si>
  <si>
    <t>Other gross receivables, including:</t>
  </si>
  <si>
    <t>Impairment on portfolio of loans, including:</t>
  </si>
  <si>
    <t>Other net receivables, including:</t>
  </si>
  <si>
    <t xml:space="preserve">   - assets in Stage 1</t>
  </si>
  <si>
    <t xml:space="preserve">   - assets in Stage 2</t>
  </si>
  <si>
    <t xml:space="preserve">   - assets in Stage 3</t>
  </si>
  <si>
    <t xml:space="preserve">   - on assets in Stage 1</t>
  </si>
  <si>
    <t xml:space="preserve">   - on assets in Stage 2</t>
  </si>
  <si>
    <t xml:space="preserve">   - on assets in Stage 3</t>
  </si>
  <si>
    <t>Share of assets in Stage 1</t>
  </si>
  <si>
    <t>Share of assets in Stage 2</t>
  </si>
  <si>
    <t>Coverage of assets in Stage 1</t>
  </si>
  <si>
    <t>Coverage of assets in Stage 2</t>
  </si>
  <si>
    <r>
      <t>1</t>
    </r>
    <r>
      <rPr>
        <i/>
        <sz val="8"/>
        <color indexed="8"/>
        <rFont val="ING Me"/>
        <charset val="238"/>
      </rPr>
      <t xml:space="preserve"> Including net profit of affiliated entities recognised on an equity basis.</t>
    </r>
  </si>
  <si>
    <r>
      <t>1</t>
    </r>
    <r>
      <rPr>
        <i/>
        <sz val="8"/>
        <color indexed="8"/>
        <rFont val="ING Me"/>
        <charset val="238"/>
      </rPr>
      <t xml:space="preserve"> Łącznie z zyskiem netto jednostek stowarzyszonych wykazywanych metodą praw własności. </t>
    </r>
  </si>
  <si>
    <r>
      <rPr>
        <i/>
        <vertAlign val="superscript"/>
        <sz val="8"/>
        <rFont val="ING Me"/>
        <charset val="238"/>
      </rPr>
      <t>2</t>
    </r>
    <r>
      <rPr>
        <i/>
        <sz val="8"/>
        <rFont val="ING Me"/>
        <charset val="238"/>
      </rPr>
      <t xml:space="preserve"> Attributable to the shareholders of the parent entity.</t>
    </r>
  </si>
  <si>
    <r>
      <rPr>
        <i/>
        <vertAlign val="superscript"/>
        <sz val="8"/>
        <color indexed="8"/>
        <rFont val="ING Me"/>
        <charset val="238"/>
      </rPr>
      <t xml:space="preserve">2 </t>
    </r>
    <r>
      <rPr>
        <i/>
        <sz val="8"/>
        <color indexed="8"/>
        <rFont val="ING Me"/>
        <charset val="238"/>
      </rPr>
      <t>Przypadający na akcjonariuszy jednostki dominującej.</t>
    </r>
  </si>
  <si>
    <r>
      <t>3</t>
    </r>
    <r>
      <rPr>
        <i/>
        <sz val="8"/>
        <color indexed="8"/>
        <rFont val="ING Me"/>
        <charset val="238"/>
      </rPr>
      <t xml:space="preserve"> Excluding T-eurobonds</t>
    </r>
  </si>
  <si>
    <r>
      <t>3</t>
    </r>
    <r>
      <rPr>
        <i/>
        <sz val="8"/>
        <color indexed="8"/>
        <rFont val="ING Me"/>
        <charset val="238"/>
      </rPr>
      <t xml:space="preserve"> Z wyłączeniem portfela Euroobligacji</t>
    </r>
  </si>
  <si>
    <r>
      <t>4</t>
    </r>
    <r>
      <rPr>
        <i/>
        <sz val="8"/>
        <color indexed="8"/>
        <rFont val="ING Me"/>
        <charset val="238"/>
      </rPr>
      <t xml:space="preserve"> Equity of the parent entity</t>
    </r>
  </si>
  <si>
    <r>
      <t>4</t>
    </r>
    <r>
      <rPr>
        <i/>
        <sz val="8"/>
        <color indexed="8"/>
        <rFont val="ING Me"/>
        <charset val="238"/>
      </rPr>
      <t xml:space="preserve"> Kapitały własne jednostki dominującej </t>
    </r>
  </si>
  <si>
    <r>
      <t>5</t>
    </r>
    <r>
      <rPr>
        <i/>
        <sz val="8"/>
        <color indexed="8"/>
        <rFont val="ING Me"/>
        <charset val="238"/>
      </rPr>
      <t xml:space="preserve"> Sum of NII of 4 consecutive quarters / average interest bearing assets of 5 consecutive quarters</t>
    </r>
  </si>
  <si>
    <r>
      <t>5</t>
    </r>
    <r>
      <rPr>
        <i/>
        <sz val="8"/>
        <color indexed="8"/>
        <rFont val="ING Me"/>
        <charset val="238"/>
      </rPr>
      <t xml:space="preserve"> Suma wyniku odsetkowego dla 4 kolejnych kwartałów / średnia wartośc aktywów odsetkowych dla 5 kolejnych kwartałów</t>
    </r>
  </si>
  <si>
    <r>
      <t>6</t>
    </r>
    <r>
      <rPr>
        <i/>
        <sz val="8"/>
        <color indexed="8"/>
        <rFont val="ING Me"/>
        <charset val="238"/>
      </rPr>
      <t xml:space="preserve"> After making figures comparable (1:10 split in Q4 2011)</t>
    </r>
  </si>
  <si>
    <r>
      <t>6</t>
    </r>
    <r>
      <rPr>
        <i/>
        <sz val="8"/>
        <color indexed="8"/>
        <rFont val="ING Me"/>
        <charset val="238"/>
      </rPr>
      <t xml:space="preserve"> Po doprowadzeniu do porównywalności (podział w stosunku 1:10 w IV kwartale 2011 roku)</t>
    </r>
  </si>
  <si>
    <t xml:space="preserve"> - Wynik na sprzedaży papierów wartościowych oraz przychody z tytułu dywidend</t>
  </si>
  <si>
    <t xml:space="preserve"> - Net income on the sale of securities and dividend income</t>
  </si>
  <si>
    <t xml:space="preserve"> - Podatek od niektórych instytucji finansowych</t>
  </si>
  <si>
    <t>Wynik z tytułu wyceny kredytów i innych należności udzielonych klientom wycenianych do wartości godziwej przez rachunek zysków i strat</t>
  </si>
  <si>
    <t>Wynik z pozycji wymiany oraz wynik na pochodnych transakcjach
walutowych, w tym:</t>
  </si>
  <si>
    <t xml:space="preserve">     - FX result</t>
  </si>
  <si>
    <t xml:space="preserve">     - Wynik z pozycji wymiany</t>
  </si>
  <si>
    <t xml:space="preserve">     - Transakcje pochodne walutowe</t>
  </si>
  <si>
    <t xml:space="preserve">     - Currency derivatives</t>
  </si>
  <si>
    <t>Wynik na instrumentach kapitałowych</t>
  </si>
  <si>
    <t>Wynik na instrumentach dłużnych</t>
  </si>
  <si>
    <t>Wynik na transakcjach pochodnych na stopę procentową</t>
  </si>
  <si>
    <t>Wynik na transakcjach pochodnych związanych z papierami wartościowymi</t>
  </si>
  <si>
    <t>Net income on interest rate derivatives</t>
  </si>
  <si>
    <t>Net income on securities derivatives</t>
  </si>
  <si>
    <t>Net income on debt instruments</t>
  </si>
  <si>
    <t>Net income on equity instruments</t>
  </si>
  <si>
    <t xml:space="preserve"> - odsetki od kredytów i innych należności udzielonych klientom wycenianych zamortyzowanym kosztem</t>
  </si>
  <si>
    <t>Result on measurement of loans to customers which are measured at fair value through profit or loss</t>
  </si>
  <si>
    <t xml:space="preserve">   - Wymogi kapitałowe dla ryzyka kredytowego, kredytowego kontrahenta, rozmycia i dostawy instrumentów do rozliczenia w późniejszym terminie</t>
  </si>
  <si>
    <t xml:space="preserve">        - w tym: uzupełnienie wymogu kapitałowego z tytułu ryzyka kredytowego do wielkości wymogu obliczonego wg metody standardowej</t>
  </si>
  <si>
    <t xml:space="preserve">   - Wymogi kapitałowe dla ryzyka cen kapitałowych papierów wartościowych, ryzyka cen instrumentów dłużnych, walutowego i cen towarów</t>
  </si>
  <si>
    <t xml:space="preserve">   - Capital requirements for credit risk, credit counterparty, dilution and delivery of instruments for future settlement</t>
  </si>
  <si>
    <t xml:space="preserve">        - including: supplementation of the credit risk capital requirement to the requirement computed using the standard method</t>
  </si>
  <si>
    <t xml:space="preserve">   - Capital requirements for the capital securities rate risk, debt instruments rates risk, FX risk and commodity rates risk</t>
  </si>
  <si>
    <t>FX result and net income on currency derivatives, including:</t>
  </si>
  <si>
    <t xml:space="preserve">2Q </t>
  </si>
  <si>
    <t xml:space="preserve">3Q </t>
  </si>
  <si>
    <t xml:space="preserve">4Q </t>
  </si>
  <si>
    <t>Marża odsetkowa</t>
  </si>
  <si>
    <t>NIM</t>
  </si>
  <si>
    <t>Interest earning assets</t>
  </si>
  <si>
    <t>Aktywa odsetkowe</t>
  </si>
  <si>
    <t>Pasywa odsetkowe</t>
  </si>
  <si>
    <t>Interest bearing liabilities</t>
  </si>
  <si>
    <t>NIM (quaterly)</t>
  </si>
  <si>
    <t>Marża odsetkowa (kwartalna)</t>
  </si>
  <si>
    <t>Marża odsetkowa (skumulowana)</t>
  </si>
  <si>
    <t>Rentowność aktywów odsetkowych (kwartalna)</t>
  </si>
  <si>
    <t>Rentowność aktywów odsetkowych (skumulowana)</t>
  </si>
  <si>
    <t>Yield on interest assets (quaterly)</t>
  </si>
  <si>
    <t>Cost of funding (quaterly)</t>
  </si>
  <si>
    <t>Koszt finansowania (kwartlany)</t>
  </si>
  <si>
    <t>Koszt finansowania (skumulowany)</t>
  </si>
  <si>
    <t>Koszty ryzyka w segmencie detalicznym</t>
  </si>
  <si>
    <t>Koszty ryzyka w segmencie korporacyjnym</t>
  </si>
  <si>
    <t>Koszty ryzyka razem</t>
  </si>
  <si>
    <t>Risk costs in retail segment</t>
  </si>
  <si>
    <t>Risk costs in corporate segment</t>
  </si>
  <si>
    <t>Total risk costs</t>
  </si>
  <si>
    <t>Detaliczna marża kosztów ryzyka (kwartalna)</t>
  </si>
  <si>
    <t>Korporacyjna marża kosztów ryzyka (kwartalna)</t>
  </si>
  <si>
    <t>Marża kosztów ryzyka (kwartalna)</t>
  </si>
  <si>
    <t>Detaliczna marża kosztów ryzyka (skumulowana)</t>
  </si>
  <si>
    <t>Korporacyjna marża kosztów ryzyka (skumulowana)</t>
  </si>
  <si>
    <t>Marża kosztów ryzyka (skumulowana)</t>
  </si>
  <si>
    <t>Retail risk cost margin (cumulative)</t>
  </si>
  <si>
    <t>Corporate risk cost margin (cumulative)</t>
  </si>
  <si>
    <t>Risk cost margin (cumulative)</t>
  </si>
  <si>
    <t>NIM (cumulative)</t>
  </si>
  <si>
    <t>Yield on interest assets (cumulative)</t>
  </si>
  <si>
    <t>Cost of funding (cumulative)</t>
  </si>
  <si>
    <t>Wskaźnik dzwigni w % (skonsolidowany)</t>
  </si>
  <si>
    <t>LCR w % (skonsolidowany)</t>
  </si>
  <si>
    <t>NSFR w % (skonsolidowany)</t>
  </si>
  <si>
    <t>LR (consolidated) as %</t>
  </si>
  <si>
    <t>LCR (consolidated) as %</t>
  </si>
  <si>
    <t>NSFR (consolidated) as %</t>
  </si>
  <si>
    <t>Total number of clients in thousands</t>
  </si>
  <si>
    <t>Łączna liczba klientów w tys.</t>
  </si>
  <si>
    <t>Liczba klientów detalicznych w tys.</t>
  </si>
  <si>
    <t xml:space="preserve">   - Zobowiązania finansowe wyceniane do wartości godziwej przez rachunek zysków i strat (bez instrumentów pochodnych)</t>
  </si>
  <si>
    <t xml:space="preserve"> - Financial liabilities measured at fair value through profit and loss (excluding derivatives)</t>
  </si>
  <si>
    <t>Number of ING Express points</t>
  </si>
  <si>
    <t>Liczba punktów ING Express</t>
  </si>
  <si>
    <t xml:space="preserve"> - Interest on leasing liabilities</t>
  </si>
  <si>
    <t xml:space="preserve"> - odsetki od zobowiązań leasingowych</t>
  </si>
  <si>
    <t xml:space="preserve"> - commission related to payment and credit cards (net)</t>
  </si>
  <si>
    <t xml:space="preserve"> - karty płatnicze i kredytowe (netto)</t>
  </si>
  <si>
    <t xml:space="preserve"> - karty płatnicze i kredytowe - przychód</t>
  </si>
  <si>
    <t xml:space="preserve"> - karty płatnicze i kredytowe - koszty</t>
  </si>
  <si>
    <t xml:space="preserve"> - commission related to payment and credit cards (income)</t>
  </si>
  <si>
    <t xml:space="preserve"> - commission related to payment and credit cards (costs)</t>
  </si>
  <si>
    <t xml:space="preserve">     - koszty IT</t>
  </si>
  <si>
    <t xml:space="preserve">     - koszty KNF</t>
  </si>
  <si>
    <t xml:space="preserve">     - IT costs</t>
  </si>
  <si>
    <t xml:space="preserve">     - KNF costs</t>
  </si>
  <si>
    <t xml:space="preserve">     - D&amp;A</t>
  </si>
  <si>
    <t>Portfel detaliczny, brutto</t>
  </si>
  <si>
    <t>Portfel korporacyjny, brutto</t>
  </si>
  <si>
    <t>Cały portfel, brutto</t>
  </si>
  <si>
    <t>Retail portfolio, gross</t>
  </si>
  <si>
    <t>Corporate portfolio, gross</t>
  </si>
  <si>
    <t>Total portfolio, gross</t>
  </si>
  <si>
    <t>Cost of risk</t>
  </si>
  <si>
    <t xml:space="preserve">   - Capital requirement due to other risk exposure amounts</t>
  </si>
  <si>
    <t>Minimum Tier 1 (CRR)</t>
  </si>
  <si>
    <t>Minimum TCR (CRR)</t>
  </si>
  <si>
    <t>Systemic risk buffer</t>
  </si>
  <si>
    <t>Capital conservation buffer</t>
  </si>
  <si>
    <t>Countercyclical buffer</t>
  </si>
  <si>
    <t>Total Tier 1 requirement</t>
  </si>
  <si>
    <t>Total TCR requirement</t>
  </si>
  <si>
    <t>Pillar 2</t>
  </si>
  <si>
    <t>Bufor zabezpieczający</t>
  </si>
  <si>
    <t>Bufor O-SII</t>
  </si>
  <si>
    <t>O-SII buffer</t>
  </si>
  <si>
    <t>Filar 2</t>
  </si>
  <si>
    <t>Bufor ryzyka systemowego</t>
  </si>
  <si>
    <t>Bufor antycykliczny</t>
  </si>
  <si>
    <t>Łączny wymóg dla współczynnika Tier 1</t>
  </si>
  <si>
    <t>Łączny wymóg dla łącznego współczynnika kapitałowego</t>
  </si>
  <si>
    <t>Minimum łączny współczynnik kapitałowy (CRR)</t>
  </si>
  <si>
    <t xml:space="preserve">     - Bank Guarantee Fund and Mortgage Support Fund costs, of which</t>
  </si>
  <si>
    <t xml:space="preserve">     - koszty Bankowego Funduszu Gwarancyjnego i Funduszu Wsparcia Kredytobiorców, z czego</t>
  </si>
  <si>
    <t xml:space="preserve">     - składki na fundusz gwarancyjny depozytów</t>
  </si>
  <si>
    <t xml:space="preserve">     - składki na fundusz przymusowej restrukturyzacji</t>
  </si>
  <si>
    <t xml:space="preserve">     - contributions to the deposit guarantee fund</t>
  </si>
  <si>
    <t>     - contributions to the forced restructuring fund</t>
  </si>
  <si>
    <t xml:space="preserve">   - POCI</t>
  </si>
  <si>
    <t>Share of assets in Stage 3 &amp; POCI</t>
  </si>
  <si>
    <t>Udział aktywów w etapie 3 i POCI</t>
  </si>
  <si>
    <t>Coverage of assets in Stage 3 &amp; POCI</t>
  </si>
  <si>
    <t>Pokrycie odpisem aktywów w etapie 3 i POCI</t>
  </si>
  <si>
    <t>Zysk na sprzedaży portfeli detalicznych (pomniejszenie kosztów ryzyka)</t>
  </si>
  <si>
    <t>Zysk na sprzedaży portfeli korporacyjnych (pomniejszenie kosztów ryzyka)</t>
  </si>
  <si>
    <t>Zysk na sprzedaży portfeli  (pomniejszenie kosztów ryzyka)</t>
  </si>
  <si>
    <t>Net gain on sale of retail portfolios (lower cost of risk)</t>
  </si>
  <si>
    <t>Net gain on sale of corporate portfolios (lower cost of risk)</t>
  </si>
  <si>
    <t>Net gain on sale of portfolios (lower cost of risk)</t>
  </si>
  <si>
    <t>Sprzedaż kredytów gotówkowych (mln zł) - klienci indywidualni</t>
  </si>
  <si>
    <t>Sprzedaż kredytów hipotecznych (mln zł) - klienci indywidualni</t>
  </si>
  <si>
    <t>Cash loan sales (PLN million) - individual clients</t>
  </si>
  <si>
    <t>Mortgage loan sales (PLN million) - individual clients</t>
  </si>
  <si>
    <t>nowa segmentacja / new segmentation -&gt;</t>
  </si>
  <si>
    <t xml:space="preserve">           -   korekta wartości z tytułu wymogów w zakresie ostrożnej wyceny</t>
  </si>
  <si>
    <t xml:space="preserve">   - Wymóg kapitałowy z tytułu innych ekspozycji na ryzyko</t>
  </si>
  <si>
    <t xml:space="preserve"> - Interest on loans and receivables to clients measured at fair value through profit or lost</t>
  </si>
  <si>
    <t xml:space="preserve">           -   aktywa z tytułu odroczonego podatku dochodowego oparte na przyszłej rentowności i niewynikające z różnic przejściowych po odliczeniu powiązanych rezerw z tytułu podatku dochodowego</t>
  </si>
  <si>
    <t xml:space="preserve"> - Odpisy z tytułu strat oczekiwanych łącznie z kosztami ryzyka prawnego walutowych kredytów hipotecznych</t>
  </si>
  <si>
    <t xml:space="preserve"> - Impairment for expected losses including legal cost of risk for FX-mortgage loans</t>
  </si>
  <si>
    <t xml:space="preserve">            - deferred tax assets based on future profitability and not resulting from temporary differences after deduction of related income tax provisions</t>
  </si>
  <si>
    <t xml:space="preserve">   - Aktywa przeznaczone do obrotu / Aktywa finansowe wyceniane według wartości godziwej przez wynik finansowy</t>
  </si>
  <si>
    <t xml:space="preserve"> - Financial assets held for trading / Financial assets at fair value through profit or loss</t>
  </si>
  <si>
    <t xml:space="preserve">     - kredyty obligatoryjnie klasyfikowane jako wyceniane w wartości godziwej przez wynik finansowy</t>
  </si>
  <si>
    <t xml:space="preserve"> - loans obligatorily classified as measured at fair value through profit or loss</t>
  </si>
  <si>
    <t xml:space="preserve"> - financial assets measured at fair value through profit or loss other then held for trading, of which:</t>
  </si>
  <si>
    <t xml:space="preserve">     - aktywa finansowe wyceniane w wartości godziwej przez wynik finansowy, inne niż przeznaczone do obrotu, w tym:</t>
  </si>
  <si>
    <t>Net profit for the period</t>
  </si>
  <si>
    <t>Total other comprehensive income, including:</t>
  </si>
  <si>
    <t>Items which can be reclassified to income statement, including:</t>
  </si>
  <si>
    <t>Items which will not be reclassified to income statement, including:</t>
  </si>
  <si>
    <t>Net comprehensive income for the reporting period, including:</t>
  </si>
  <si>
    <t xml:space="preserve"> - debt instruments measured at fair value through other comprehensive income – gains/(losses) on revaluation carried through equity</t>
  </si>
  <si>
    <t xml:space="preserve"> - debt instruments measured at fair value through other comprehensive income – reclassification to the financial result due to sale</t>
  </si>
  <si>
    <t xml:space="preserve"> - cash flow hedging – gains/(losses) on revaluation carried through equity</t>
  </si>
  <si>
    <t xml:space="preserve"> - cash flow hedging – reclassification to profit or loss</t>
  </si>
  <si>
    <t xml:space="preserve"> - equity instruments measured at fair value through other comprehensive income – gains/(losses) on revaluation carried through equity</t>
  </si>
  <si>
    <t xml:space="preserve"> - attributable to shareholders of ING Bank Śląski S.A.</t>
  </si>
  <si>
    <t xml:space="preserve"> - aktualizacja wyceny rzeczowych aktywów trwałych</t>
  </si>
  <si>
    <t xml:space="preserve"> - zyski / straty aktuarialne</t>
  </si>
  <si>
    <t>Zysk netto za okres sprawozdawczy</t>
  </si>
  <si>
    <t>Pozostałe całkowite dochody netto, w tym:</t>
  </si>
  <si>
    <t>Pozycje, które mogą być przeklasyfikowane do rachunku zysków i strat, w tym:</t>
  </si>
  <si>
    <t>Pozycje, które nie zostaną przeklasyfikowane do rachunku zysków i strat, w tym:</t>
  </si>
  <si>
    <t>Całkowity dochód netto za okres sprawozdawczy</t>
  </si>
  <si>
    <t xml:space="preserve"> - dłużne papiery wartościowe wyceniane według wartości godziwej przez inne całkowite dochody – zyski / straty z rewaluacji odnoszone na kapitał własny</t>
  </si>
  <si>
    <t xml:space="preserve"> - dłużne papiery wartościowe wyceniane według wartości godziwej przez inne całkowite dochody – przeniesienie na wynik finansowy w związku ze sprzedażą </t>
  </si>
  <si>
    <t xml:space="preserve"> - zabezpieczenie przepływów pieniężnych – zyski / straty z rewaluacji odnoszone na kapitał własny</t>
  </si>
  <si>
    <t xml:space="preserve"> - zabezpieczenie przepływów pieniężnych – przeniesienie do zysku lub straty</t>
  </si>
  <si>
    <t xml:space="preserve"> - kapitałowe instrumenty finansowe wyceniane według wartości godziwej przez inne całkowite dochody – zyski / straty z rewaluacji odnoszone na kapitał własny</t>
  </si>
  <si>
    <t xml:space="preserve"> - w tym przypadający akcjonariuszom ING Banku Śląskiego S.A.</t>
  </si>
  <si>
    <t xml:space="preserve"> - revaluation of tangible fixed assets</t>
  </si>
  <si>
    <t xml:space="preserve"> - actuarial gains / losses</t>
  </si>
  <si>
    <t>Risk costs including legal cost of risk for FX-mortgage loans</t>
  </si>
  <si>
    <t>Koszty ryzyka łącznie z kosztami ryzyka prawnego walutowych kredytów hipotecznych</t>
  </si>
  <si>
    <t>koszty ryzyka łącznie z kosztami ryzyka prawnego walutowych kredytów hipotecznych</t>
  </si>
  <si>
    <t xml:space="preserve">   - Kredyty i inne należności udzielone klientom wyceniane wg zamortyzowanego kosztu</t>
  </si>
  <si>
    <t xml:space="preserve"> - Loans and receivables to customers at amortised cost</t>
  </si>
  <si>
    <t xml:space="preserve">     - koszty utrzymania budynków</t>
  </si>
  <si>
    <t xml:space="preserve">     - Maintenance of buildings</t>
  </si>
  <si>
    <r>
      <t xml:space="preserve">Income </t>
    </r>
    <r>
      <rPr>
        <vertAlign val="superscript"/>
        <sz val="8"/>
        <color rgb="FF333333"/>
        <rFont val="ING Me"/>
        <charset val="238"/>
      </rPr>
      <t>1</t>
    </r>
  </si>
  <si>
    <r>
      <t xml:space="preserve">Przychody </t>
    </r>
    <r>
      <rPr>
        <vertAlign val="superscript"/>
        <sz val="8"/>
        <color rgb="FF333333"/>
        <rFont val="ING Me"/>
        <charset val="238"/>
      </rPr>
      <t>1</t>
    </r>
  </si>
  <si>
    <r>
      <t xml:space="preserve">Net profit </t>
    </r>
    <r>
      <rPr>
        <vertAlign val="superscript"/>
        <sz val="8"/>
        <color rgb="FF333333"/>
        <rFont val="ING Me"/>
        <charset val="238"/>
      </rPr>
      <t>2</t>
    </r>
  </si>
  <si>
    <r>
      <t xml:space="preserve">Zysk netto </t>
    </r>
    <r>
      <rPr>
        <vertAlign val="superscript"/>
        <sz val="8"/>
        <color rgb="FF333333"/>
        <rFont val="ING Me"/>
        <charset val="238"/>
      </rPr>
      <t>2</t>
    </r>
  </si>
  <si>
    <r>
      <t xml:space="preserve">Loans and receivables to customers (net) </t>
    </r>
    <r>
      <rPr>
        <vertAlign val="superscript"/>
        <sz val="8"/>
        <color rgb="FF333333"/>
        <rFont val="ING Me"/>
        <charset val="238"/>
      </rPr>
      <t>3</t>
    </r>
    <r>
      <rPr>
        <sz val="8"/>
        <color rgb="FF333333"/>
        <rFont val="ING Me"/>
        <charset val="238"/>
      </rPr>
      <t>, of which:</t>
    </r>
  </si>
  <si>
    <r>
      <t>Kredyty i inne należności udzielone klientom netto</t>
    </r>
    <r>
      <rPr>
        <vertAlign val="superscript"/>
        <sz val="8"/>
        <color rgb="FF333333"/>
        <rFont val="ING Me"/>
        <charset val="238"/>
      </rPr>
      <t xml:space="preserve"> 3</t>
    </r>
    <r>
      <rPr>
        <sz val="8"/>
        <color rgb="FF333333"/>
        <rFont val="ING Me"/>
        <charset val="238"/>
      </rPr>
      <t>,</t>
    </r>
    <r>
      <rPr>
        <vertAlign val="superscript"/>
        <sz val="8"/>
        <color rgb="FF333333"/>
        <rFont val="ING Me"/>
        <charset val="238"/>
      </rPr>
      <t xml:space="preserve"> </t>
    </r>
    <r>
      <rPr>
        <sz val="8"/>
        <color rgb="FF333333"/>
        <rFont val="ING Me"/>
        <charset val="238"/>
      </rPr>
      <t>w tym:</t>
    </r>
  </si>
  <si>
    <r>
      <t xml:space="preserve">Equity </t>
    </r>
    <r>
      <rPr>
        <vertAlign val="superscript"/>
        <sz val="8"/>
        <color rgb="FF333333"/>
        <rFont val="ING Me"/>
        <charset val="238"/>
      </rPr>
      <t>4</t>
    </r>
  </si>
  <si>
    <r>
      <t xml:space="preserve">Kapitały własne </t>
    </r>
    <r>
      <rPr>
        <vertAlign val="superscript"/>
        <sz val="8"/>
        <color rgb="FF333333"/>
        <rFont val="ING Me"/>
        <charset val="238"/>
      </rPr>
      <t>4</t>
    </r>
  </si>
  <si>
    <r>
      <t xml:space="preserve">Net interest margin (NIM) as % </t>
    </r>
    <r>
      <rPr>
        <vertAlign val="superscript"/>
        <sz val="8"/>
        <color rgb="FF333333"/>
        <rFont val="ING Me"/>
        <charset val="238"/>
      </rPr>
      <t>5</t>
    </r>
  </si>
  <si>
    <r>
      <t xml:space="preserve">Marża odsetkowa netto w % </t>
    </r>
    <r>
      <rPr>
        <vertAlign val="superscript"/>
        <sz val="8"/>
        <color rgb="FF333333"/>
        <rFont val="ING Me"/>
        <charset val="238"/>
      </rPr>
      <t>5</t>
    </r>
  </si>
  <si>
    <r>
      <t xml:space="preserve">Number of shares </t>
    </r>
    <r>
      <rPr>
        <vertAlign val="superscript"/>
        <sz val="8"/>
        <color rgb="FF333333"/>
        <rFont val="ING Me"/>
        <charset val="238"/>
      </rPr>
      <t>6</t>
    </r>
  </si>
  <si>
    <r>
      <t xml:space="preserve">Liczba akcji </t>
    </r>
    <r>
      <rPr>
        <vertAlign val="superscript"/>
        <sz val="8"/>
        <color rgb="FF333333"/>
        <rFont val="ING Me"/>
        <charset val="238"/>
      </rPr>
      <t>6</t>
    </r>
  </si>
  <si>
    <r>
      <t xml:space="preserve">Factoring turnover (PLN million) - ING ComFin </t>
    </r>
    <r>
      <rPr>
        <sz val="8"/>
        <color rgb="FF333333"/>
        <rFont val="ING Me"/>
        <charset val="238"/>
      </rPr>
      <t>- MA accounting</t>
    </r>
  </si>
  <si>
    <r>
      <t xml:space="preserve">Obroty faktoringowe (mln zł) - ING ComFin </t>
    </r>
    <r>
      <rPr>
        <sz val="8"/>
        <color rgb="FF333333"/>
        <rFont val="ING Me"/>
        <charset val="238"/>
      </rPr>
      <t>- rachunkowość zarządcza</t>
    </r>
  </si>
  <si>
    <r>
      <t xml:space="preserve">Leasing sales (PLN million) - INF Lease </t>
    </r>
    <r>
      <rPr>
        <sz val="8"/>
        <color rgb="FF333333"/>
        <rFont val="ING Me"/>
        <charset val="238"/>
      </rPr>
      <t>- MA accounting</t>
    </r>
  </si>
  <si>
    <r>
      <t>Sprzedaż leasingu (mln zł) - ING Lease</t>
    </r>
    <r>
      <rPr>
        <sz val="8"/>
        <color rgb="FF333333"/>
        <rFont val="ING Me"/>
        <charset val="238"/>
      </rPr>
      <t xml:space="preserve"> - rachunkowość zarządcza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</si>
</sst>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3" formatCode="_-* #,##0.00_-;\-* #,##0.00_-;_-* &quot;-&quot;??_-;_-@_-"/>
    <numFmt numFmtId="164" formatCode="_-* #,##0.00\ _z_ł_-;\-* #,##0.00\ _z_ł_-;_-* &quot;-&quot;??\ _z_ł_-;_-@_-"/>
    <numFmt numFmtId="165" formatCode="#,##0.0"/>
    <numFmt numFmtId="166" formatCode="0.0"/>
    <numFmt numFmtId="167" formatCode="0.0%"/>
    <numFmt numFmtId="168" formatCode="_-* #,##0\ &quot;Sk&quot;_-;\-* #,##0\ &quot;Sk&quot;_-;_-* &quot;-&quot;\ &quot;Sk&quot;_-;_-@_-"/>
    <numFmt numFmtId="169" formatCode="_-* #,##0\ _S_k_-;\-* #,##0\ _S_k_-;_-* &quot;-&quot;\ _S_k_-;_-@_-"/>
    <numFmt numFmtId="170" formatCode="_-* #,##0.00\ _S_k_-;\-* #,##0.00\ _S_k_-;_-* &quot;-&quot;??\ _S_k_-;_-@_-"/>
    <numFmt numFmtId="171" formatCode="#\."/>
    <numFmt numFmtId="172" formatCode="_-* #,##0.00\ [$€-1]_-;\-* #,##0.00\ [$€-1]_-;_-* &quot;-&quot;??\ [$€-1]_-"/>
    <numFmt numFmtId="173" formatCode="_-* #,##0.00\ &quot;Sk&quot;_-;\-* #,##0.00\ &quot;Sk&quot;_-;_-* &quot;-&quot;??\ &quot;Sk&quot;_-;_-@_-"/>
    <numFmt numFmtId="174" formatCode="0.000%"/>
  </numFmts>
  <fonts count="102">
    <font>
      <sz val="10"/>
      <name val="Arial CE"/>
      <charset val="238"/>
    </font>
    <font>
      <sz val="11"/>
      <color theme="1"/>
      <name val="ING Me"/>
      <family val="2"/>
      <charset val="238"/>
    </font>
    <font>
      <sz val="11"/>
      <color theme="1"/>
      <name val="Calibri"/>
      <family val="2"/>
      <charset val="238"/>
      <scheme val="minor"/>
    </font>
    <font>
      <sz val="10"/>
      <name val="Arial CE"/>
      <charset val="238"/>
    </font>
    <font>
      <sz val="10"/>
      <name val="Arial"/>
      <family val="2"/>
      <charset val="238"/>
    </font>
    <font>
      <sz val="10"/>
      <name val="Courier"/>
      <family val="3"/>
    </font>
    <font>
      <b/>
      <sz val="10"/>
      <name val="Arial"/>
      <family val="2"/>
      <charset val="238"/>
    </font>
    <font>
      <sz val="8"/>
      <name val="Arial"/>
      <family val="2"/>
      <charset val="238"/>
    </font>
    <font>
      <b/>
      <sz val="12"/>
      <color indexed="9"/>
      <name val="Arial"/>
      <family val="2"/>
      <charset val="238"/>
    </font>
    <font>
      <b/>
      <sz val="8"/>
      <color indexed="9"/>
      <name val="Arial"/>
      <family val="2"/>
      <charset val="238"/>
    </font>
    <font>
      <sz val="8"/>
      <color indexed="81"/>
      <name val="Tahoma"/>
      <family val="2"/>
      <charset val="238"/>
    </font>
    <font>
      <b/>
      <sz val="10"/>
      <color indexed="10"/>
      <name val="Arial"/>
      <family val="2"/>
      <charset val="238"/>
    </font>
    <font>
      <b/>
      <sz val="10"/>
      <color indexed="12"/>
      <name val="Arial"/>
      <family val="2"/>
      <charset val="238"/>
    </font>
    <font>
      <b/>
      <sz val="12"/>
      <color indexed="12"/>
      <name val="Arial"/>
      <family val="2"/>
      <charset val="238"/>
    </font>
    <font>
      <sz val="10"/>
      <name val="ING Me"/>
      <charset val="238"/>
    </font>
    <font>
      <i/>
      <sz val="10"/>
      <name val="ING Me"/>
      <charset val="238"/>
    </font>
    <font>
      <b/>
      <sz val="10"/>
      <name val="ING Me"/>
      <charset val="238"/>
    </font>
    <font>
      <sz val="8"/>
      <name val="ING Me"/>
      <charset val="238"/>
    </font>
    <font>
      <i/>
      <sz val="8"/>
      <name val="ING Me"/>
      <charset val="238"/>
    </font>
    <font>
      <b/>
      <sz val="8"/>
      <name val="ING Me"/>
      <charset val="238"/>
    </font>
    <font>
      <b/>
      <sz val="10"/>
      <color indexed="10"/>
      <name val="ING Me"/>
      <charset val="238"/>
    </font>
    <font>
      <b/>
      <sz val="12"/>
      <color indexed="9"/>
      <name val="ING Me"/>
      <charset val="238"/>
    </font>
    <font>
      <b/>
      <sz val="8"/>
      <color indexed="9"/>
      <name val="ING Me"/>
      <charset val="238"/>
    </font>
    <font>
      <b/>
      <sz val="12"/>
      <color indexed="10"/>
      <name val="ING Me"/>
      <charset val="238"/>
    </font>
    <font>
      <b/>
      <sz val="10"/>
      <color indexed="12"/>
      <name val="ING Me"/>
      <charset val="238"/>
    </font>
    <font>
      <b/>
      <sz val="12"/>
      <color indexed="12"/>
      <name val="ING Me"/>
      <charset val="238"/>
    </font>
    <font>
      <i/>
      <u/>
      <sz val="8"/>
      <color indexed="12"/>
      <name val="ING Me"/>
      <charset val="238"/>
    </font>
    <font>
      <sz val="11"/>
      <color theme="1"/>
      <name val="Calibri"/>
      <family val="2"/>
      <charset val="238"/>
      <scheme val="minor"/>
    </font>
    <font>
      <sz val="11"/>
      <color theme="1"/>
      <name val="Calibri"/>
      <family val="2"/>
      <scheme val="minor"/>
    </font>
    <font>
      <b/>
      <sz val="8"/>
      <color theme="0"/>
      <name val="Arial"/>
      <family val="2"/>
      <charset val="238"/>
    </font>
    <font>
      <b/>
      <sz val="8"/>
      <color theme="0"/>
      <name val="ING Me"/>
      <charset val="238"/>
    </font>
    <font>
      <sz val="10"/>
      <color rgb="FFFFC000"/>
      <name val="ING Me"/>
      <charset val="238"/>
    </font>
    <font>
      <b/>
      <sz val="10"/>
      <color theme="0"/>
      <name val="ING Me"/>
      <charset val="238"/>
    </font>
    <font>
      <b/>
      <sz val="8"/>
      <color rgb="FFFFFFFF"/>
      <name val="ING Me"/>
      <charset val="238"/>
    </font>
    <font>
      <sz val="8"/>
      <color theme="1"/>
      <name val="ING Me"/>
      <charset val="238"/>
    </font>
    <font>
      <b/>
      <sz val="8"/>
      <color rgb="FF000000"/>
      <name val="ING Me"/>
      <charset val="238"/>
    </font>
    <font>
      <b/>
      <sz val="10"/>
      <color rgb="FFFF0000"/>
      <name val="Arial"/>
      <family val="2"/>
      <charset val="238"/>
    </font>
    <font>
      <b/>
      <i/>
      <sz val="8"/>
      <color rgb="FFFF6600"/>
      <name val="ING Me"/>
      <charset val="238"/>
    </font>
    <font>
      <sz val="8"/>
      <color rgb="FFFF6600"/>
      <name val="ING Me"/>
      <charset val="238"/>
    </font>
    <font>
      <b/>
      <sz val="8"/>
      <color theme="1"/>
      <name val="ING Me"/>
      <charset val="238"/>
    </font>
    <font>
      <sz val="8"/>
      <color theme="0" tint="-0.499984740745262"/>
      <name val="ING Me"/>
      <charset val="238"/>
    </font>
    <font>
      <i/>
      <sz val="8"/>
      <color theme="0"/>
      <name val="ING Me"/>
      <charset val="238"/>
    </font>
    <font>
      <b/>
      <i/>
      <sz val="8"/>
      <color theme="0"/>
      <name val="ING Me"/>
      <charset val="238"/>
    </font>
    <font>
      <b/>
      <i/>
      <sz val="8"/>
      <name val="ING Me"/>
      <charset val="238"/>
    </font>
    <font>
      <sz val="9"/>
      <name val="ING Me"/>
      <charset val="238"/>
    </font>
    <font>
      <sz val="11"/>
      <name val="ING Me"/>
      <charset val="238"/>
    </font>
    <font>
      <sz val="11"/>
      <color theme="0"/>
      <name val="ING Me"/>
      <charset val="238"/>
    </font>
    <font>
      <sz val="8"/>
      <color theme="0"/>
      <name val="ING Me"/>
      <charset val="238"/>
    </font>
    <font>
      <b/>
      <sz val="8"/>
      <color theme="0" tint="-0.499984740745262"/>
      <name val="ING Me"/>
      <charset val="238"/>
    </font>
    <font>
      <i/>
      <vertAlign val="superscript"/>
      <sz val="8"/>
      <color indexed="8"/>
      <name val="ING Me"/>
      <charset val="238"/>
    </font>
    <font>
      <i/>
      <sz val="8"/>
      <color indexed="8"/>
      <name val="ING Me"/>
      <charset val="238"/>
    </font>
    <font>
      <i/>
      <vertAlign val="superscript"/>
      <sz val="8"/>
      <name val="ING Me"/>
      <charset val="238"/>
    </font>
    <font>
      <b/>
      <sz val="12"/>
      <color theme="0"/>
      <name val="ING Me"/>
      <charset val="238"/>
    </font>
    <font>
      <sz val="8"/>
      <color rgb="FF00B050"/>
      <name val="ING Me"/>
      <charset val="238"/>
    </font>
    <font>
      <b/>
      <sz val="8"/>
      <color rgb="FF333333"/>
      <name val="ING Me"/>
      <charset val="238"/>
    </font>
    <font>
      <sz val="8"/>
      <color rgb="FF333333"/>
      <name val="ING Me"/>
      <charset val="238"/>
    </font>
    <font>
      <sz val="10"/>
      <name val="Courier"/>
      <family val="1"/>
      <charset val="238"/>
    </font>
    <font>
      <sz val="10"/>
      <name val="Tahoma"/>
      <family val="2"/>
      <charset val="238"/>
    </font>
    <font>
      <sz val="11"/>
      <color indexed="8"/>
      <name val="Czcionka tekstu podstawowego"/>
      <family val="2"/>
      <charset val="238"/>
    </font>
    <font>
      <sz val="11"/>
      <color indexed="8"/>
      <name val="Calibri"/>
      <family val="2"/>
      <charset val="238"/>
    </font>
    <font>
      <sz val="10"/>
      <color indexed="8"/>
      <name val="Calibri"/>
      <family val="2"/>
      <charset val="238"/>
    </font>
    <font>
      <sz val="11"/>
      <color indexed="9"/>
      <name val="Czcionka tekstu podstawowego"/>
      <family val="2"/>
      <charset val="238"/>
    </font>
    <font>
      <sz val="10"/>
      <color indexed="9"/>
      <name val="Calibri"/>
      <family val="2"/>
      <charset val="238"/>
    </font>
    <font>
      <sz val="11"/>
      <color indexed="62"/>
      <name val="Czcionka tekstu podstawowego"/>
      <family val="2"/>
      <charset val="238"/>
    </font>
    <font>
      <sz val="10"/>
      <color indexed="62"/>
      <name val="Calibri"/>
      <family val="2"/>
      <charset val="238"/>
    </font>
    <font>
      <b/>
      <sz val="11"/>
      <color indexed="63"/>
      <name val="Czcionka tekstu podstawowego"/>
      <family val="2"/>
      <charset val="238"/>
    </font>
    <font>
      <b/>
      <sz val="10"/>
      <color indexed="63"/>
      <name val="Calibri"/>
      <family val="2"/>
      <charset val="238"/>
    </font>
    <font>
      <sz val="11"/>
      <color indexed="17"/>
      <name val="Czcionka tekstu podstawowego"/>
      <family val="2"/>
      <charset val="238"/>
    </font>
    <font>
      <sz val="10"/>
      <color indexed="17"/>
      <name val="Calibri"/>
      <family val="2"/>
      <charset val="238"/>
    </font>
    <font>
      <sz val="8"/>
      <name val="Trebuchet MS"/>
      <family val="2"/>
      <charset val="238"/>
    </font>
    <font>
      <sz val="1"/>
      <color indexed="16"/>
      <name val="Courier"/>
      <family val="1"/>
      <charset val="238"/>
    </font>
    <font>
      <i/>
      <sz val="1"/>
      <color indexed="16"/>
      <name val="Courier"/>
      <family val="1"/>
      <charset val="238"/>
    </font>
    <font>
      <u/>
      <sz val="6"/>
      <color indexed="12"/>
      <name val="Arial CE"/>
      <charset val="238"/>
    </font>
    <font>
      <sz val="11"/>
      <color indexed="10"/>
      <name val="Czcionka tekstu podstawowego"/>
      <family val="2"/>
      <charset val="238"/>
    </font>
    <font>
      <sz val="10"/>
      <color indexed="10"/>
      <name val="Calibri"/>
      <family val="2"/>
      <charset val="238"/>
    </font>
    <font>
      <b/>
      <sz val="11"/>
      <color indexed="9"/>
      <name val="Czcionka tekstu podstawowego"/>
      <family val="2"/>
      <charset val="238"/>
    </font>
    <font>
      <b/>
      <sz val="10"/>
      <color indexed="9"/>
      <name val="Calibri"/>
      <family val="2"/>
      <charset val="238"/>
    </font>
    <font>
      <b/>
      <sz val="15"/>
      <color indexed="62"/>
      <name val="Czcionka tekstu podstawowego"/>
      <family val="2"/>
      <charset val="238"/>
    </font>
    <font>
      <b/>
      <sz val="15"/>
      <color indexed="62"/>
      <name val="Calibri"/>
      <family val="2"/>
      <charset val="238"/>
    </font>
    <font>
      <b/>
      <sz val="13"/>
      <color indexed="62"/>
      <name val="Czcionka tekstu podstawowego"/>
      <family val="2"/>
      <charset val="238"/>
    </font>
    <font>
      <b/>
      <sz val="13"/>
      <color indexed="62"/>
      <name val="Calibri"/>
      <family val="2"/>
      <charset val="238"/>
    </font>
    <font>
      <b/>
      <sz val="11"/>
      <color indexed="62"/>
      <name val="Czcionka tekstu podstawowego"/>
      <family val="2"/>
      <charset val="238"/>
    </font>
    <font>
      <b/>
      <sz val="11"/>
      <color indexed="62"/>
      <name val="Calibri"/>
      <family val="2"/>
      <charset val="238"/>
    </font>
    <font>
      <sz val="11"/>
      <color indexed="19"/>
      <name val="Czcionka tekstu podstawowego"/>
      <family val="2"/>
      <charset val="238"/>
    </font>
    <font>
      <sz val="10"/>
      <color indexed="19"/>
      <name val="Calibri"/>
      <family val="2"/>
      <charset val="238"/>
    </font>
    <font>
      <sz val="10"/>
      <color theme="1"/>
      <name val="Calibri"/>
      <family val="2"/>
      <charset val="238"/>
      <scheme val="minor"/>
    </font>
    <font>
      <b/>
      <sz val="11"/>
      <color indexed="10"/>
      <name val="Czcionka tekstu podstawowego"/>
      <family val="2"/>
      <charset val="238"/>
    </font>
    <font>
      <b/>
      <sz val="10"/>
      <color indexed="10"/>
      <name val="Calibri"/>
      <family val="2"/>
      <charset val="238"/>
    </font>
    <font>
      <b/>
      <sz val="11"/>
      <color indexed="8"/>
      <name val="Czcionka tekstu podstawowego"/>
      <family val="2"/>
      <charset val="238"/>
    </font>
    <font>
      <b/>
      <sz val="10"/>
      <color indexed="8"/>
      <name val="Calibri"/>
      <family val="2"/>
      <charset val="238"/>
    </font>
    <font>
      <i/>
      <sz val="11"/>
      <color indexed="23"/>
      <name val="Czcionka tekstu podstawowego"/>
      <family val="2"/>
      <charset val="238"/>
    </font>
    <font>
      <i/>
      <sz val="10"/>
      <color indexed="23"/>
      <name val="Calibri"/>
      <family val="2"/>
      <charset val="238"/>
    </font>
    <font>
      <b/>
      <sz val="18"/>
      <color indexed="62"/>
      <name val="Cambria"/>
      <family val="2"/>
      <charset val="238"/>
    </font>
    <font>
      <sz val="11"/>
      <color indexed="20"/>
      <name val="Czcionka tekstu podstawowego"/>
      <family val="2"/>
      <charset val="238"/>
    </font>
    <font>
      <sz val="10"/>
      <color indexed="20"/>
      <name val="Calibri"/>
      <family val="2"/>
      <charset val="238"/>
    </font>
    <font>
      <vertAlign val="superscript"/>
      <sz val="8"/>
      <color rgb="FF333333"/>
      <name val="ING Me"/>
      <charset val="238"/>
    </font>
    <font>
      <i/>
      <sz val="8"/>
      <color rgb="FF333333"/>
      <name val="ING Me"/>
      <charset val="238"/>
    </font>
    <font>
      <b/>
      <i/>
      <sz val="8"/>
      <color rgb="FF333333"/>
      <name val="ING Me"/>
      <charset val="238"/>
    </font>
    <font>
      <i/>
      <sz val="10"/>
      <color rgb="FF333333"/>
      <name val="ING Me"/>
      <charset val="238"/>
    </font>
    <font>
      <b/>
      <sz val="10"/>
      <color rgb="FF333333"/>
      <name val="ING Me"/>
      <charset val="238"/>
    </font>
    <font>
      <sz val="10"/>
      <color rgb="FF333333"/>
      <name val="ING Me"/>
      <charset val="238"/>
    </font>
    <font>
      <sz val="8"/>
      <color rgb="FF333333"/>
      <name val="ING Me Narrow"/>
      <charset val="238"/>
    </font>
  </fonts>
  <fills count="29">
    <fill>
      <patternFill patternType="none"/>
    </fill>
    <fill>
      <patternFill patternType="gray125"/>
    </fill>
    <fill>
      <patternFill patternType="solid">
        <fgColor indexed="53"/>
        <bgColor indexed="64"/>
      </patternFill>
    </fill>
    <fill>
      <patternFill patternType="solid">
        <fgColor theme="0"/>
        <bgColor indexed="64"/>
      </patternFill>
    </fill>
    <fill>
      <patternFill patternType="solid">
        <fgColor rgb="FFFF6600"/>
        <bgColor indexed="64"/>
      </patternFill>
    </fill>
    <fill>
      <patternFill patternType="solid">
        <fgColor theme="0" tint="-4.9989318521683403E-2"/>
        <bgColor indexed="64"/>
      </patternFill>
    </fill>
    <fill>
      <patternFill patternType="solid">
        <fgColor rgb="FFFF6200"/>
        <bgColor indexed="64"/>
      </patternFill>
    </fill>
    <fill>
      <patternFill patternType="solid">
        <fgColor rgb="FFA8A8A8"/>
        <bgColor indexed="64"/>
      </patternFill>
    </fill>
    <fill>
      <patternFill patternType="solid">
        <fgColor rgb="FF767676"/>
        <bgColor indexed="64"/>
      </patternFill>
    </fill>
    <fill>
      <patternFill patternType="solid">
        <fgColor theme="8" tint="0.79998168889431442"/>
        <bgColor indexed="65"/>
      </patternFill>
    </fill>
    <fill>
      <patternFill patternType="solid">
        <fgColor indexed="26"/>
      </patternFill>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14"/>
      </patternFill>
    </fill>
    <fill>
      <patternFill patternType="solid">
        <fgColor indexed="42"/>
      </patternFill>
    </fill>
    <fill>
      <patternFill patternType="solid">
        <fgColor indexed="43"/>
      </patternFill>
    </fill>
    <fill>
      <patternFill patternType="solid">
        <fgColor indexed="47"/>
      </patternFill>
    </fill>
    <fill>
      <patternFill patternType="solid">
        <fgColor indexed="46"/>
      </patternFill>
    </fill>
    <fill>
      <patternFill patternType="solid">
        <fgColor indexed="27"/>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9"/>
      </patternFill>
    </fill>
    <fill>
      <patternFill patternType="solid">
        <fgColor indexed="55"/>
      </patternFill>
    </fill>
  </fills>
  <borders count="41">
    <border>
      <left/>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style="hair">
        <color indexed="64"/>
      </right>
      <top style="hair">
        <color indexed="64"/>
      </top>
      <bottom/>
      <diagonal/>
    </border>
    <border>
      <left/>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medium">
        <color rgb="FFFF6600"/>
      </top>
      <bottom style="medium">
        <color rgb="FFFF6600"/>
      </bottom>
      <diagonal/>
    </border>
    <border>
      <left style="hair">
        <color indexed="64"/>
      </left>
      <right/>
      <top style="medium">
        <color rgb="FFFF6600"/>
      </top>
      <bottom style="medium">
        <color rgb="FFFF6600"/>
      </bottom>
      <diagonal/>
    </border>
    <border>
      <left/>
      <right style="hair">
        <color indexed="64"/>
      </right>
      <top style="medium">
        <color rgb="FFFF6600"/>
      </top>
      <bottom style="medium">
        <color rgb="FFFF6600"/>
      </bottom>
      <diagonal/>
    </border>
    <border>
      <left style="hair">
        <color indexed="64"/>
      </left>
      <right style="hair">
        <color indexed="64"/>
      </right>
      <top/>
      <bottom/>
      <diagonal/>
    </border>
    <border>
      <left style="hair">
        <color rgb="FFBFBFBF"/>
      </left>
      <right/>
      <top style="hair">
        <color auto="1"/>
      </top>
      <bottom style="hair">
        <color auto="1"/>
      </bottom>
      <diagonal/>
    </border>
    <border>
      <left/>
      <right style="hair">
        <color rgb="FFBFBFBF"/>
      </right>
      <top style="hair">
        <color auto="1"/>
      </top>
      <bottom style="hair">
        <color auto="1"/>
      </bottom>
      <diagonal/>
    </border>
    <border>
      <left style="hair">
        <color auto="1"/>
      </left>
      <right style="hair">
        <color auto="1"/>
      </right>
      <top/>
      <bottom style="hair">
        <color auto="1"/>
      </bottom>
      <diagonal/>
    </border>
    <border>
      <left style="hair">
        <color indexed="64"/>
      </left>
      <right style="hair">
        <color indexed="64"/>
      </right>
      <top style="hair">
        <color indexed="64"/>
      </top>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double">
        <color indexed="10"/>
      </bottom>
      <diagonal/>
    </border>
    <border>
      <left style="double">
        <color indexed="63"/>
      </left>
      <right style="double">
        <color indexed="63"/>
      </right>
      <top style="double">
        <color indexed="63"/>
      </top>
      <bottom style="double">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style="thick">
        <color rgb="FF767676"/>
      </right>
      <top/>
      <bottom/>
      <diagonal/>
    </border>
    <border>
      <left style="thick">
        <color rgb="FF767676"/>
      </left>
      <right/>
      <top/>
      <bottom/>
      <diagonal/>
    </border>
    <border>
      <left/>
      <right style="thick">
        <color rgb="FF767676"/>
      </right>
      <top style="hair">
        <color indexed="64"/>
      </top>
      <bottom style="hair">
        <color indexed="64"/>
      </bottom>
      <diagonal/>
    </border>
    <border>
      <left style="thick">
        <color rgb="FF767676"/>
      </left>
      <right/>
      <top style="hair">
        <color indexed="64"/>
      </top>
      <bottom style="hair">
        <color indexed="64"/>
      </bottom>
      <diagonal/>
    </border>
    <border>
      <left/>
      <right style="thick">
        <color rgb="FF767676"/>
      </right>
      <top style="hair">
        <color indexed="64"/>
      </top>
      <bottom/>
      <diagonal/>
    </border>
    <border>
      <left style="thick">
        <color rgb="FF767676"/>
      </left>
      <right/>
      <top style="hair">
        <color indexed="64"/>
      </top>
      <bottom/>
      <diagonal/>
    </border>
    <border>
      <left/>
      <right style="thick">
        <color rgb="FF767676"/>
      </right>
      <top/>
      <bottom style="hair">
        <color indexed="64"/>
      </bottom>
      <diagonal/>
    </border>
    <border>
      <left style="thick">
        <color rgb="FF767676"/>
      </left>
      <right/>
      <top/>
      <bottom style="hair">
        <color indexed="64"/>
      </bottom>
      <diagonal/>
    </border>
    <border>
      <left style="hair">
        <color indexed="64"/>
      </left>
      <right style="thick">
        <color rgb="FF767676"/>
      </right>
      <top/>
      <bottom/>
      <diagonal/>
    </border>
    <border>
      <left style="thick">
        <color rgb="FF767676"/>
      </left>
      <right style="thick">
        <color rgb="FF767676"/>
      </right>
      <top/>
      <bottom/>
      <diagonal/>
    </border>
    <border>
      <left style="thick">
        <color rgb="FF767676"/>
      </left>
      <right style="hair">
        <color indexed="64"/>
      </right>
      <top/>
      <bottom/>
      <diagonal/>
    </border>
  </borders>
  <cellStyleXfs count="21789">
    <xf numFmtId="0" fontId="0" fillId="0" borderId="0"/>
    <xf numFmtId="0" fontId="5" fillId="0" borderId="0">
      <alignment vertical="center"/>
    </xf>
    <xf numFmtId="0" fontId="4" fillId="0" borderId="0">
      <alignment vertical="center"/>
    </xf>
    <xf numFmtId="0" fontId="4" fillId="0" borderId="0">
      <alignment vertical="center"/>
    </xf>
    <xf numFmtId="0" fontId="3" fillId="0" borderId="0"/>
    <xf numFmtId="0" fontId="4" fillId="0" borderId="0"/>
    <xf numFmtId="0" fontId="28" fillId="0" borderId="0"/>
    <xf numFmtId="0" fontId="27" fillId="0" borderId="0"/>
    <xf numFmtId="0" fontId="27" fillId="0" borderId="0"/>
    <xf numFmtId="0" fontId="27" fillId="0" borderId="0"/>
    <xf numFmtId="9" fontId="3" fillId="0" borderId="0" applyFont="0" applyFill="0" applyBorder="0" applyAlignment="0" applyProtection="0"/>
    <xf numFmtId="9" fontId="3" fillId="0" borderId="0" applyFont="0" applyFill="0" applyBorder="0" applyAlignment="0" applyProtection="0"/>
    <xf numFmtId="9" fontId="27" fillId="0" borderId="0" applyFont="0" applyFill="0" applyBorder="0" applyAlignment="0" applyProtection="0"/>
    <xf numFmtId="0" fontId="2" fillId="0" borderId="0"/>
    <xf numFmtId="0" fontId="1" fillId="0" borderId="0"/>
    <xf numFmtId="9" fontId="1" fillId="0" borderId="0" applyFont="0" applyFill="0" applyBorder="0" applyAlignment="0" applyProtection="0"/>
    <xf numFmtId="0" fontId="2" fillId="0" borderId="0"/>
    <xf numFmtId="0" fontId="4" fillId="0" borderId="0"/>
    <xf numFmtId="9" fontId="4" fillId="0" borderId="0" applyFont="0" applyFill="0" applyBorder="0" applyAlignment="0" applyProtection="0"/>
    <xf numFmtId="43" fontId="4" fillId="0" borderId="0" applyFont="0" applyFill="0" applyBorder="0" applyAlignment="0" applyProtection="0"/>
    <xf numFmtId="0" fontId="4" fillId="0" borderId="0"/>
    <xf numFmtId="0" fontId="4" fillId="0" borderId="0"/>
    <xf numFmtId="0" fontId="4" fillId="0" borderId="0"/>
    <xf numFmtId="9" fontId="4" fillId="0" borderId="0" applyFont="0" applyFill="0" applyBorder="0" applyAlignment="0" applyProtection="0"/>
    <xf numFmtId="0" fontId="4" fillId="10" borderId="21" applyNumberFormat="0" applyFont="0" applyAlignment="0" applyProtection="0"/>
    <xf numFmtId="164" fontId="2" fillId="0" borderId="0" applyFont="0" applyFill="0" applyBorder="0" applyAlignment="0" applyProtection="0"/>
    <xf numFmtId="0" fontId="2" fillId="0" borderId="0"/>
    <xf numFmtId="0" fontId="56" fillId="0" borderId="0">
      <alignment vertical="center"/>
    </xf>
    <xf numFmtId="0" fontId="5" fillId="0" borderId="0">
      <alignment vertical="center"/>
    </xf>
    <xf numFmtId="0" fontId="57" fillId="0" borderId="0">
      <alignment vertical="center"/>
    </xf>
    <xf numFmtId="0" fontId="56" fillId="0" borderId="0">
      <alignment vertical="center"/>
    </xf>
    <xf numFmtId="168" fontId="3" fillId="0" borderId="0" applyFont="0" applyFill="0" applyBorder="0" applyAlignment="0" applyProtection="0"/>
    <xf numFmtId="0" fontId="58" fillId="11" borderId="0" applyNumberFormat="0" applyBorder="0" applyAlignment="0" applyProtection="0"/>
    <xf numFmtId="0" fontId="59" fillId="12" borderId="0" applyNumberFormat="0" applyBorder="0" applyAlignment="0" applyProtection="0"/>
    <xf numFmtId="0" fontId="59" fillId="12"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58" fillId="11" borderId="0" applyNumberFormat="0" applyBorder="0" applyAlignment="0" applyProtection="0"/>
    <xf numFmtId="0" fontId="58" fillId="11" borderId="0" applyNumberFormat="0" applyBorder="0" applyAlignment="0" applyProtection="0"/>
    <xf numFmtId="0" fontId="60" fillId="11" borderId="0" applyNumberFormat="0" applyBorder="0" applyAlignment="0" applyProtection="0"/>
    <xf numFmtId="0" fontId="58" fillId="13" borderId="0" applyNumberFormat="0" applyBorder="0" applyAlignment="0" applyProtection="0"/>
    <xf numFmtId="0" fontId="59" fillId="14" borderId="0" applyNumberFormat="0" applyBorder="0" applyAlignment="0" applyProtection="0"/>
    <xf numFmtId="0" fontId="59" fillId="14"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58" fillId="13" borderId="0" applyNumberFormat="0" applyBorder="0" applyAlignment="0" applyProtection="0"/>
    <xf numFmtId="0" fontId="58" fillId="13" borderId="0" applyNumberFormat="0" applyBorder="0" applyAlignment="0" applyProtection="0"/>
    <xf numFmtId="0" fontId="60" fillId="13" borderId="0" applyNumberFormat="0" applyBorder="0" applyAlignment="0" applyProtection="0"/>
    <xf numFmtId="0" fontId="58" fillId="15" borderId="0" applyNumberFormat="0" applyBorder="0" applyAlignment="0" applyProtection="0"/>
    <xf numFmtId="0" fontId="59" fillId="16" borderId="0" applyNumberFormat="0" applyBorder="0" applyAlignment="0" applyProtection="0"/>
    <xf numFmtId="0" fontId="59" fillId="16"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2" fillId="17" borderId="0" applyNumberFormat="0" applyBorder="0" applyAlignment="0" applyProtection="0"/>
    <xf numFmtId="0" fontId="58" fillId="15" borderId="0" applyNumberFormat="0" applyBorder="0" applyAlignment="0" applyProtection="0"/>
    <xf numFmtId="0" fontId="58" fillId="15" borderId="0" applyNumberFormat="0" applyBorder="0" applyAlignment="0" applyProtection="0"/>
    <xf numFmtId="0" fontId="60" fillId="17" borderId="0" applyNumberFormat="0" applyBorder="0" applyAlignment="0" applyProtection="0"/>
    <xf numFmtId="0" fontId="58" fillId="18" borderId="0" applyNumberFormat="0" applyBorder="0" applyAlignment="0" applyProtection="0"/>
    <xf numFmtId="0" fontId="59" fillId="19" borderId="0" applyNumberFormat="0" applyBorder="0" applyAlignment="0" applyProtection="0"/>
    <xf numFmtId="0" fontId="59" fillId="19"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2" fillId="18" borderId="0" applyNumberFormat="0" applyBorder="0" applyAlignment="0" applyProtection="0"/>
    <xf numFmtId="0" fontId="58" fillId="18" borderId="0" applyNumberFormat="0" applyBorder="0" applyAlignment="0" applyProtection="0"/>
    <xf numFmtId="0" fontId="58" fillId="18" borderId="0" applyNumberFormat="0" applyBorder="0" applyAlignment="0" applyProtection="0"/>
    <xf numFmtId="0" fontId="60" fillId="16" borderId="0" applyNumberFormat="0" applyBorder="0" applyAlignment="0" applyProtection="0"/>
    <xf numFmtId="0" fontId="58" fillId="20" borderId="0" applyNumberFormat="0" applyBorder="0" applyAlignment="0" applyProtection="0"/>
    <xf numFmtId="0" fontId="59" fillId="20" borderId="0" applyNumberFormat="0" applyBorder="0" applyAlignment="0" applyProtection="0"/>
    <xf numFmtId="0" fontId="59" fillId="20"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3" fillId="0" borderId="0"/>
    <xf numFmtId="0" fontId="2" fillId="9" borderId="0" applyNumberFormat="0" applyBorder="0" applyAlignment="0" applyProtection="0"/>
    <xf numFmtId="0" fontId="3" fillId="0" borderId="0"/>
    <xf numFmtId="0" fontId="3" fillId="0" borderId="0"/>
    <xf numFmtId="0" fontId="2" fillId="9"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2" fillId="9"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0" fillId="20" borderId="0" applyNumberFormat="0" applyBorder="0" applyAlignment="0" applyProtection="0"/>
    <xf numFmtId="0" fontId="58" fillId="15"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0" fillId="17" borderId="0" applyNumberFormat="0" applyBorder="0" applyAlignment="0" applyProtection="0"/>
    <xf numFmtId="0" fontId="58" fillId="2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0" fillId="20" borderId="0" applyNumberFormat="0" applyBorder="0" applyAlignment="0" applyProtection="0"/>
    <xf numFmtId="0" fontId="58" fillId="13"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0" fillId="13" borderId="0" applyNumberFormat="0" applyBorder="0" applyAlignment="0" applyProtection="0"/>
    <xf numFmtId="0" fontId="58" fillId="1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0" fillId="10" borderId="0" applyNumberFormat="0" applyBorder="0" applyAlignment="0" applyProtection="0"/>
    <xf numFmtId="0" fontId="58" fillId="1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0" fillId="14" borderId="0" applyNumberFormat="0" applyBorder="0" applyAlignment="0" applyProtection="0"/>
    <xf numFmtId="0" fontId="58" fillId="2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0" fillId="20" borderId="0" applyNumberFormat="0" applyBorder="0" applyAlignment="0" applyProtection="0"/>
    <xf numFmtId="0" fontId="58" fillId="1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0" fillId="10" borderId="0" applyNumberFormat="0" applyBorder="0" applyAlignment="0" applyProtection="0"/>
    <xf numFmtId="0" fontId="61" fillId="2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2" fillId="20" borderId="0" applyNumberFormat="0" applyBorder="0" applyAlignment="0" applyProtection="0"/>
    <xf numFmtId="0" fontId="61" fillId="2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2" fillId="21" borderId="0" applyNumberFormat="0" applyBorder="0" applyAlignment="0" applyProtection="0"/>
    <xf numFmtId="0" fontId="61" fillId="22"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2" fillId="22" borderId="0" applyNumberFormat="0" applyBorder="0" applyAlignment="0" applyProtection="0"/>
    <xf numFmtId="0" fontId="61" fillId="1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2" fillId="14" borderId="0" applyNumberFormat="0" applyBorder="0" applyAlignment="0" applyProtection="0"/>
    <xf numFmtId="0" fontId="61" fillId="2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2" fillId="20" borderId="0" applyNumberFormat="0" applyBorder="0" applyAlignment="0" applyProtection="0"/>
    <xf numFmtId="0" fontId="61" fillId="13"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2" fillId="13" borderId="0" applyNumberFormat="0" applyBorder="0" applyAlignment="0" applyProtection="0"/>
    <xf numFmtId="0" fontId="61" fillId="23"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2" fillId="23" borderId="0" applyNumberFormat="0" applyBorder="0" applyAlignment="0" applyProtection="0"/>
    <xf numFmtId="0" fontId="61" fillId="21"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2" fillId="21" borderId="0" applyNumberFormat="0" applyBorder="0" applyAlignment="0" applyProtection="0"/>
    <xf numFmtId="0" fontId="61" fillId="22"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2" fillId="22" borderId="0" applyNumberFormat="0" applyBorder="0" applyAlignment="0" applyProtection="0"/>
    <xf numFmtId="0" fontId="61" fillId="24"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2" fillId="24" borderId="0" applyNumberFormat="0" applyBorder="0" applyAlignment="0" applyProtection="0"/>
    <xf numFmtId="0" fontId="61" fillId="25"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2" fillId="25" borderId="0" applyNumberFormat="0" applyBorder="0" applyAlignment="0" applyProtection="0"/>
    <xf numFmtId="0" fontId="61" fillId="26"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2" fillId="26" borderId="0" applyNumberFormat="0" applyBorder="0" applyAlignment="0" applyProtection="0"/>
    <xf numFmtId="169" fontId="3" fillId="0" borderId="0" applyFont="0" applyFill="0" applyBorder="0" applyAlignment="0" applyProtection="0"/>
    <xf numFmtId="170"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3" fillId="13" borderId="22" applyNumberFormat="0" applyAlignment="0" applyProtection="0"/>
    <xf numFmtId="0" fontId="3" fillId="0" borderId="0"/>
    <xf numFmtId="0" fontId="3" fillId="0" borderId="0"/>
    <xf numFmtId="0" fontId="3" fillId="0" borderId="0"/>
    <xf numFmtId="0" fontId="3" fillId="0" borderId="0"/>
    <xf numFmtId="0" fontId="3" fillId="0" borderId="0"/>
    <xf numFmtId="0" fontId="64" fillId="13" borderId="22" applyNumberFormat="0" applyAlignment="0" applyProtection="0"/>
    <xf numFmtId="0" fontId="65" fillId="27" borderId="23" applyNumberFormat="0" applyAlignment="0" applyProtection="0"/>
    <xf numFmtId="0" fontId="3" fillId="0" borderId="0"/>
    <xf numFmtId="0" fontId="3" fillId="0" borderId="0"/>
    <xf numFmtId="0" fontId="3" fillId="0" borderId="0"/>
    <xf numFmtId="0" fontId="3" fillId="0" borderId="0"/>
    <xf numFmtId="0" fontId="3" fillId="0" borderId="0"/>
    <xf numFmtId="0" fontId="66" fillId="16" borderId="23" applyNumberFormat="0" applyAlignment="0" applyProtection="0"/>
    <xf numFmtId="0" fontId="67" fillId="2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68" fillId="20" borderId="0" applyNumberFormat="0" applyBorder="0" applyAlignment="0" applyProtection="0"/>
    <xf numFmtId="16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4" fontId="3" fillId="0" borderId="0" applyFont="0" applyFill="0" applyBorder="0" applyAlignment="0" applyProtection="0"/>
    <xf numFmtId="0" fontId="3" fillId="0" borderId="0"/>
    <xf numFmtId="164" fontId="59"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4" fontId="2"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4" fontId="2"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4" fontId="3" fillId="0" borderId="0" applyFont="0" applyFill="0" applyBorder="0" applyAlignment="0" applyProtection="0"/>
    <xf numFmtId="172" fontId="69" fillId="0" borderId="0" applyFont="0" applyFill="0" applyBorder="0" applyAlignment="0" applyProtection="0"/>
    <xf numFmtId="0" fontId="3" fillId="0" borderId="0"/>
    <xf numFmtId="171" fontId="70" fillId="0" borderId="0">
      <protection locked="0"/>
    </xf>
    <xf numFmtId="0" fontId="3" fillId="0" borderId="0"/>
    <xf numFmtId="0" fontId="3" fillId="0" borderId="0"/>
    <xf numFmtId="0" fontId="3" fillId="0" borderId="0"/>
    <xf numFmtId="171" fontId="70" fillId="0" borderId="0">
      <protection locked="0"/>
    </xf>
    <xf numFmtId="0" fontId="3" fillId="0" borderId="0"/>
    <xf numFmtId="0" fontId="3" fillId="0" borderId="0"/>
    <xf numFmtId="0" fontId="3" fillId="0" borderId="0"/>
    <xf numFmtId="171" fontId="71" fillId="0" borderId="0">
      <protection locked="0"/>
    </xf>
    <xf numFmtId="0" fontId="3" fillId="0" borderId="0"/>
    <xf numFmtId="0" fontId="3" fillId="0" borderId="0"/>
    <xf numFmtId="0" fontId="3" fillId="0" borderId="0"/>
    <xf numFmtId="171" fontId="70" fillId="0" borderId="0">
      <protection locked="0"/>
    </xf>
    <xf numFmtId="0" fontId="3" fillId="0" borderId="0"/>
    <xf numFmtId="0" fontId="3" fillId="0" borderId="0"/>
    <xf numFmtId="0" fontId="3" fillId="0" borderId="0"/>
    <xf numFmtId="171" fontId="70" fillId="0" borderId="0">
      <protection locked="0"/>
    </xf>
    <xf numFmtId="0" fontId="3" fillId="0" borderId="0"/>
    <xf numFmtId="0" fontId="3" fillId="0" borderId="0"/>
    <xf numFmtId="0" fontId="3" fillId="0" borderId="0"/>
    <xf numFmtId="171" fontId="70" fillId="0" borderId="0">
      <protection locked="0"/>
    </xf>
    <xf numFmtId="0" fontId="3" fillId="0" borderId="0"/>
    <xf numFmtId="0" fontId="3" fillId="0" borderId="0"/>
    <xf numFmtId="0" fontId="3" fillId="0" borderId="0"/>
    <xf numFmtId="171" fontId="71" fillId="0" borderId="0">
      <protection locked="0"/>
    </xf>
    <xf numFmtId="0" fontId="3" fillId="0" borderId="0"/>
    <xf numFmtId="0" fontId="3" fillId="0" borderId="0"/>
    <xf numFmtId="0" fontId="3" fillId="0" borderId="0"/>
    <xf numFmtId="0" fontId="72" fillId="0" borderId="0" applyNumberFormat="0" applyFill="0" applyBorder="0" applyAlignment="0" applyProtection="0">
      <alignment vertical="top"/>
      <protection locked="0"/>
    </xf>
    <xf numFmtId="0" fontId="3" fillId="0" borderId="0"/>
    <xf numFmtId="0" fontId="3" fillId="0" borderId="0"/>
    <xf numFmtId="0" fontId="73" fillId="0" borderId="24" applyNumberFormat="0" applyFill="0" applyAlignment="0" applyProtection="0"/>
    <xf numFmtId="0" fontId="3" fillId="0" borderId="0"/>
    <xf numFmtId="0" fontId="3" fillId="0" borderId="0"/>
    <xf numFmtId="0" fontId="3" fillId="0" borderId="0"/>
    <xf numFmtId="0" fontId="3" fillId="0" borderId="0"/>
    <xf numFmtId="0" fontId="3" fillId="0" borderId="0"/>
    <xf numFmtId="0" fontId="74" fillId="0" borderId="24" applyNumberFormat="0" applyFill="0" applyAlignment="0" applyProtection="0"/>
    <xf numFmtId="0" fontId="75" fillId="28" borderId="25"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76" fillId="28" borderId="25" applyNumberFormat="0" applyAlignment="0" applyProtection="0"/>
    <xf numFmtId="173" fontId="3" fillId="0" borderId="0" applyFont="0" applyFill="0" applyBorder="0" applyAlignment="0" applyProtection="0"/>
    <xf numFmtId="0" fontId="77" fillId="0" borderId="26" applyNumberFormat="0" applyFill="0" applyAlignment="0" applyProtection="0"/>
    <xf numFmtId="0" fontId="3" fillId="0" borderId="0"/>
    <xf numFmtId="0" fontId="3" fillId="0" borderId="0"/>
    <xf numFmtId="0" fontId="3" fillId="0" borderId="0"/>
    <xf numFmtId="0" fontId="3" fillId="0" borderId="0"/>
    <xf numFmtId="0" fontId="3" fillId="0" borderId="0"/>
    <xf numFmtId="0" fontId="78" fillId="0" borderId="26" applyNumberFormat="0" applyFill="0" applyAlignment="0" applyProtection="0"/>
    <xf numFmtId="0" fontId="79" fillId="0" borderId="27" applyNumberFormat="0" applyFill="0" applyAlignment="0" applyProtection="0"/>
    <xf numFmtId="0" fontId="3" fillId="0" borderId="0"/>
    <xf numFmtId="0" fontId="3" fillId="0" borderId="0"/>
    <xf numFmtId="0" fontId="3" fillId="0" borderId="0"/>
    <xf numFmtId="0" fontId="3" fillId="0" borderId="0"/>
    <xf numFmtId="0" fontId="3" fillId="0" borderId="0"/>
    <xf numFmtId="0" fontId="80" fillId="0" borderId="27" applyNumberFormat="0" applyFill="0" applyAlignment="0" applyProtection="0"/>
    <xf numFmtId="0" fontId="81" fillId="0" borderId="28" applyNumberFormat="0" applyFill="0" applyAlignment="0" applyProtection="0"/>
    <xf numFmtId="0" fontId="3" fillId="0" borderId="0"/>
    <xf numFmtId="0" fontId="3" fillId="0" borderId="0"/>
    <xf numFmtId="0" fontId="3" fillId="0" borderId="0"/>
    <xf numFmtId="0" fontId="3" fillId="0" borderId="0"/>
    <xf numFmtId="0" fontId="3" fillId="0" borderId="0"/>
    <xf numFmtId="0" fontId="82" fillId="0" borderId="28" applyNumberFormat="0" applyFill="0" applyAlignment="0" applyProtection="0"/>
    <xf numFmtId="0" fontId="81"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82" fillId="0" borderId="0" applyNumberFormat="0" applyFill="0" applyBorder="0" applyAlignment="0" applyProtection="0"/>
    <xf numFmtId="0" fontId="83" fillId="10"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84" fillId="10" borderId="0" applyNumberFormat="0" applyBorder="0" applyAlignment="0" applyProtection="0"/>
    <xf numFmtId="0" fontId="3" fillId="0" borderId="0"/>
    <xf numFmtId="0" fontId="3" fillId="0" borderId="0"/>
    <xf numFmtId="0" fontId="2"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2" fillId="0" borderId="0"/>
    <xf numFmtId="0" fontId="7"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7" fillId="0" borderId="0"/>
    <xf numFmtId="0" fontId="3" fillId="0" borderId="0"/>
    <xf numFmtId="0" fontId="3" fillId="0" borderId="0"/>
    <xf numFmtId="0" fontId="7" fillId="0" borderId="0"/>
    <xf numFmtId="0" fontId="3" fillId="0" borderId="0"/>
    <xf numFmtId="0" fontId="3" fillId="0" borderId="0"/>
    <xf numFmtId="0" fontId="3" fillId="0" borderId="0"/>
    <xf numFmtId="0" fontId="3" fillId="0" borderId="0"/>
    <xf numFmtId="0" fontId="3" fillId="0" borderId="0"/>
    <xf numFmtId="0" fontId="7" fillId="0" borderId="0"/>
    <xf numFmtId="0" fontId="7"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7" fillId="0" borderId="0"/>
    <xf numFmtId="0" fontId="7" fillId="0" borderId="0"/>
    <xf numFmtId="0" fontId="3" fillId="0" borderId="0"/>
    <xf numFmtId="0" fontId="3" fillId="0" borderId="0"/>
    <xf numFmtId="0" fontId="7" fillId="0" borderId="0"/>
    <xf numFmtId="0" fontId="3" fillId="0" borderId="0"/>
    <xf numFmtId="0" fontId="3" fillId="0" borderId="0"/>
    <xf numFmtId="0" fontId="3" fillId="0" borderId="0"/>
    <xf numFmtId="0" fontId="7" fillId="0" borderId="0"/>
    <xf numFmtId="0" fontId="7" fillId="0" borderId="0"/>
    <xf numFmtId="0" fontId="3" fillId="0" borderId="0"/>
    <xf numFmtId="0" fontId="3" fillId="0" borderId="0"/>
    <xf numFmtId="0" fontId="3" fillId="0" borderId="0"/>
    <xf numFmtId="0" fontId="3" fillId="0" borderId="0"/>
    <xf numFmtId="0" fontId="3" fillId="0" borderId="0"/>
    <xf numFmtId="0" fontId="3" fillId="0" borderId="0"/>
    <xf numFmtId="0" fontId="7" fillId="0" borderId="0"/>
    <xf numFmtId="0" fontId="3"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3" fillId="0" borderId="0"/>
    <xf numFmtId="0" fontId="7" fillId="0" borderId="0"/>
    <xf numFmtId="0" fontId="3" fillId="0" borderId="0"/>
    <xf numFmtId="0" fontId="3" fillId="0" borderId="0"/>
    <xf numFmtId="0" fontId="60"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85"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2"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2" fillId="0" borderId="0"/>
    <xf numFmtId="0" fontId="2" fillId="0" borderId="0"/>
    <xf numFmtId="0" fontId="3" fillId="0" borderId="0"/>
    <xf numFmtId="0" fontId="3" fillId="0" borderId="0"/>
    <xf numFmtId="0" fontId="2" fillId="0" borderId="0"/>
    <xf numFmtId="0" fontId="86" fillId="27" borderId="22" applyNumberFormat="0" applyAlignment="0" applyProtection="0"/>
    <xf numFmtId="0" fontId="3" fillId="0" borderId="0"/>
    <xf numFmtId="0" fontId="3" fillId="0" borderId="0"/>
    <xf numFmtId="0" fontId="3" fillId="0" borderId="0"/>
    <xf numFmtId="0" fontId="3" fillId="0" borderId="0"/>
    <xf numFmtId="0" fontId="3" fillId="0" borderId="0"/>
    <xf numFmtId="0" fontId="87" fillId="16" borderId="22" applyNumberFormat="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88" fillId="0" borderId="29" applyNumberFormat="0" applyFill="0" applyAlignment="0" applyProtection="0"/>
    <xf numFmtId="0" fontId="3" fillId="0" borderId="0"/>
    <xf numFmtId="0" fontId="3" fillId="0" borderId="0"/>
    <xf numFmtId="0" fontId="3" fillId="0" borderId="0"/>
    <xf numFmtId="0" fontId="3" fillId="0" borderId="0"/>
    <xf numFmtId="0" fontId="3" fillId="0" borderId="0"/>
    <xf numFmtId="0" fontId="89" fillId="0" borderId="29" applyNumberFormat="0" applyFill="0" applyAlignment="0" applyProtection="0"/>
    <xf numFmtId="0" fontId="90"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91" fillId="0" borderId="0" applyNumberFormat="0" applyFill="0" applyBorder="0" applyAlignment="0" applyProtection="0"/>
    <xf numFmtId="0" fontId="73"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74" fillId="0" borderId="0" applyNumberFormat="0" applyFill="0" applyBorder="0" applyAlignment="0" applyProtection="0"/>
    <xf numFmtId="0" fontId="92" fillId="0" borderId="0" applyNumberFormat="0" applyFill="0" applyBorder="0" applyAlignment="0" applyProtection="0"/>
    <xf numFmtId="0" fontId="3" fillId="0" borderId="0"/>
    <xf numFmtId="0" fontId="3" fillId="0" borderId="0"/>
    <xf numFmtId="0" fontId="3" fillId="0" borderId="0"/>
    <xf numFmtId="0" fontId="3" fillId="0" borderId="0"/>
    <xf numFmtId="0" fontId="92"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17" borderId="21" applyNumberFormat="0" applyFont="0" applyAlignment="0" applyProtection="0"/>
    <xf numFmtId="0" fontId="3" fillId="0" borderId="0"/>
    <xf numFmtId="0" fontId="93" fillId="19"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94" fillId="19" borderId="0" applyNumberFormat="0" applyBorder="0" applyAlignment="0" applyProtection="0"/>
    <xf numFmtId="0" fontId="56" fillId="0" borderId="0">
      <alignment vertical="center"/>
    </xf>
    <xf numFmtId="9" fontId="4" fillId="0" borderId="0" applyFont="0" applyFill="0" applyBorder="0" applyAlignment="0" applyProtection="0"/>
    <xf numFmtId="164" fontId="1"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cellStyleXfs>
  <cellXfs count="715">
    <xf numFmtId="0" fontId="0" fillId="0" borderId="0" xfId="0"/>
    <xf numFmtId="0" fontId="4" fillId="0" borderId="0" xfId="0" applyFont="1" applyAlignment="1">
      <alignment vertical="center" wrapText="1"/>
    </xf>
    <xf numFmtId="0" fontId="4" fillId="0" borderId="0" xfId="0" applyFont="1" applyBorder="1" applyAlignment="1">
      <alignment vertical="center"/>
    </xf>
    <xf numFmtId="0" fontId="4" fillId="0" borderId="0" xfId="0" applyFont="1" applyFill="1" applyBorder="1" applyAlignment="1">
      <alignment vertical="center"/>
    </xf>
    <xf numFmtId="0" fontId="6" fillId="0" borderId="0" xfId="0" applyFont="1" applyFill="1" applyBorder="1" applyAlignment="1">
      <alignment vertical="center"/>
    </xf>
    <xf numFmtId="3" fontId="9" fillId="2" borderId="5" xfId="0" applyNumberFormat="1" applyFont="1" applyFill="1" applyBorder="1" applyAlignment="1">
      <alignment horizontal="right" vertical="center" wrapText="1"/>
    </xf>
    <xf numFmtId="3" fontId="9" fillId="2" borderId="0" xfId="0" applyNumberFormat="1" applyFont="1" applyFill="1" applyBorder="1" applyAlignment="1">
      <alignment horizontal="right" vertical="center" wrapText="1"/>
    </xf>
    <xf numFmtId="3" fontId="9" fillId="2" borderId="6" xfId="0" applyNumberFormat="1" applyFont="1" applyFill="1" applyBorder="1" applyAlignment="1">
      <alignment horizontal="right" vertical="center" wrapText="1"/>
    </xf>
    <xf numFmtId="3" fontId="9" fillId="2" borderId="5" xfId="4" applyNumberFormat="1" applyFont="1" applyFill="1" applyBorder="1" applyAlignment="1">
      <alignment horizontal="right" vertical="center" wrapText="1"/>
    </xf>
    <xf numFmtId="3" fontId="9" fillId="2" borderId="0" xfId="4" applyNumberFormat="1" applyFont="1" applyFill="1" applyBorder="1" applyAlignment="1">
      <alignment horizontal="right" vertical="center" wrapText="1"/>
    </xf>
    <xf numFmtId="3" fontId="9" fillId="2" borderId="6" xfId="4" applyNumberFormat="1" applyFont="1" applyFill="1" applyBorder="1" applyAlignment="1">
      <alignment horizontal="right" vertical="center" wrapText="1"/>
    </xf>
    <xf numFmtId="0" fontId="11" fillId="0" borderId="0" xfId="0" applyFont="1" applyFill="1" applyAlignment="1">
      <alignment vertical="center" wrapText="1"/>
    </xf>
    <xf numFmtId="165" fontId="4" fillId="0" borderId="0" xfId="0" applyNumberFormat="1" applyFont="1" applyFill="1" applyBorder="1" applyAlignment="1">
      <alignment vertical="center"/>
    </xf>
    <xf numFmtId="0" fontId="14" fillId="0" borderId="0" xfId="0" applyFont="1" applyBorder="1" applyAlignment="1">
      <alignment vertical="center"/>
    </xf>
    <xf numFmtId="0" fontId="14" fillId="0" borderId="0" xfId="0" applyFont="1" applyFill="1" applyBorder="1" applyAlignment="1">
      <alignment vertical="center"/>
    </xf>
    <xf numFmtId="0" fontId="16" fillId="0" borderId="0" xfId="0" applyFont="1" applyFill="1" applyBorder="1" applyAlignment="1">
      <alignment vertical="center"/>
    </xf>
    <xf numFmtId="0" fontId="16" fillId="0" borderId="0" xfId="0" applyFont="1" applyBorder="1" applyAlignment="1">
      <alignment vertical="center"/>
    </xf>
    <xf numFmtId="0" fontId="17" fillId="0" borderId="0" xfId="0" applyFont="1" applyBorder="1" applyAlignment="1">
      <alignment vertical="center"/>
    </xf>
    <xf numFmtId="0" fontId="20" fillId="5" borderId="0" xfId="0" applyFont="1" applyFill="1" applyAlignment="1">
      <alignment vertical="center" wrapText="1"/>
    </xf>
    <xf numFmtId="165" fontId="14" fillId="0" borderId="0" xfId="0" applyNumberFormat="1" applyFont="1" applyBorder="1" applyAlignment="1">
      <alignment vertical="center"/>
    </xf>
    <xf numFmtId="3" fontId="22" fillId="2" borderId="5" xfId="0" applyNumberFormat="1" applyFont="1" applyFill="1" applyBorder="1" applyAlignment="1">
      <alignment horizontal="right" vertical="center" wrapText="1"/>
    </xf>
    <xf numFmtId="3" fontId="22" fillId="2" borderId="0" xfId="0" applyNumberFormat="1" applyFont="1" applyFill="1" applyBorder="1" applyAlignment="1">
      <alignment horizontal="right" vertical="center" wrapText="1"/>
    </xf>
    <xf numFmtId="3" fontId="17" fillId="0" borderId="1" xfId="0" applyNumberFormat="1" applyFont="1" applyFill="1" applyBorder="1" applyAlignment="1">
      <alignment horizontal="right" vertical="center"/>
    </xf>
    <xf numFmtId="3" fontId="14" fillId="0" borderId="2" xfId="0" applyNumberFormat="1" applyFont="1" applyFill="1" applyBorder="1" applyAlignment="1">
      <alignment vertical="center"/>
    </xf>
    <xf numFmtId="3" fontId="14" fillId="0" borderId="1" xfId="0" applyNumberFormat="1" applyFont="1" applyFill="1" applyBorder="1" applyAlignment="1">
      <alignment vertical="center"/>
    </xf>
    <xf numFmtId="3" fontId="14" fillId="0" borderId="3" xfId="0" applyNumberFormat="1" applyFont="1" applyFill="1" applyBorder="1" applyAlignment="1">
      <alignment vertical="center"/>
    </xf>
    <xf numFmtId="0" fontId="17" fillId="0" borderId="1" xfId="0" applyFont="1" applyFill="1" applyBorder="1" applyAlignment="1">
      <alignment horizontal="left" vertical="center" wrapText="1"/>
    </xf>
    <xf numFmtId="165" fontId="17" fillId="0" borderId="2" xfId="0" applyNumberFormat="1" applyFont="1" applyFill="1" applyBorder="1" applyAlignment="1">
      <alignment vertical="center"/>
    </xf>
    <xf numFmtId="165" fontId="17" fillId="0" borderId="1" xfId="0" applyNumberFormat="1" applyFont="1" applyFill="1" applyBorder="1" applyAlignment="1">
      <alignment vertical="center"/>
    </xf>
    <xf numFmtId="165" fontId="17" fillId="0" borderId="3" xfId="0" applyNumberFormat="1" applyFont="1" applyFill="1" applyBorder="1" applyAlignment="1">
      <alignment vertical="center"/>
    </xf>
    <xf numFmtId="0" fontId="17" fillId="0" borderId="1" xfId="0" applyFont="1" applyFill="1" applyBorder="1" applyAlignment="1">
      <alignment vertical="center" wrapText="1"/>
    </xf>
    <xf numFmtId="0" fontId="19" fillId="0" borderId="1" xfId="0" applyFont="1" applyFill="1" applyBorder="1" applyAlignment="1">
      <alignment vertical="center" wrapText="1"/>
    </xf>
    <xf numFmtId="165" fontId="19" fillId="0" borderId="2" xfId="0" applyNumberFormat="1" applyFont="1" applyFill="1" applyBorder="1" applyAlignment="1">
      <alignment vertical="center"/>
    </xf>
    <xf numFmtId="165" fontId="19" fillId="0" borderId="1" xfId="0" applyNumberFormat="1" applyFont="1" applyFill="1" applyBorder="1" applyAlignment="1">
      <alignment vertical="center"/>
    </xf>
    <xf numFmtId="165" fontId="19" fillId="0" borderId="3" xfId="0" applyNumberFormat="1" applyFont="1" applyFill="1" applyBorder="1" applyAlignment="1">
      <alignment vertical="center"/>
    </xf>
    <xf numFmtId="3" fontId="17" fillId="0" borderId="1" xfId="0" applyNumberFormat="1" applyFont="1" applyFill="1" applyBorder="1" applyAlignment="1">
      <alignment vertical="center" wrapText="1"/>
    </xf>
    <xf numFmtId="0" fontId="30" fillId="4" borderId="4" xfId="0" applyFont="1" applyFill="1" applyBorder="1" applyAlignment="1">
      <alignment vertical="center" wrapText="1"/>
    </xf>
    <xf numFmtId="165" fontId="30" fillId="4" borderId="2" xfId="0" applyNumberFormat="1" applyFont="1" applyFill="1" applyBorder="1" applyAlignment="1">
      <alignment vertical="center"/>
    </xf>
    <xf numFmtId="165" fontId="30" fillId="4" borderId="1" xfId="0" applyNumberFormat="1" applyFont="1" applyFill="1" applyBorder="1" applyAlignment="1">
      <alignment vertical="center"/>
    </xf>
    <xf numFmtId="165" fontId="30" fillId="4" borderId="3" xfId="0" applyNumberFormat="1" applyFont="1" applyFill="1" applyBorder="1" applyAlignment="1">
      <alignment vertical="center"/>
    </xf>
    <xf numFmtId="0" fontId="14" fillId="0" borderId="0" xfId="0" applyFont="1" applyBorder="1" applyAlignment="1">
      <alignment vertical="center" wrapText="1"/>
    </xf>
    <xf numFmtId="0" fontId="17" fillId="0" borderId="0" xfId="0" applyFont="1" applyBorder="1" applyAlignment="1">
      <alignment vertical="center" wrapText="1"/>
    </xf>
    <xf numFmtId="165" fontId="17" fillId="0" borderId="0" xfId="0" applyNumberFormat="1" applyFont="1" applyBorder="1" applyAlignment="1">
      <alignment vertical="center"/>
    </xf>
    <xf numFmtId="3" fontId="22" fillId="2" borderId="6" xfId="0" applyNumberFormat="1" applyFont="1" applyFill="1" applyBorder="1" applyAlignment="1">
      <alignment horizontal="right" vertical="center" wrapText="1"/>
    </xf>
    <xf numFmtId="3" fontId="22" fillId="2" borderId="0" xfId="0" applyNumberFormat="1" applyFont="1" applyFill="1" applyBorder="1" applyAlignment="1">
      <alignment horizontal="center" vertical="center" wrapText="1"/>
    </xf>
    <xf numFmtId="0" fontId="19" fillId="0" borderId="1" xfId="0" applyFont="1" applyFill="1" applyBorder="1" applyAlignment="1">
      <alignment horizontal="left" vertical="center" wrapText="1"/>
    </xf>
    <xf numFmtId="3" fontId="18" fillId="0" borderId="1" xfId="0" applyNumberFormat="1" applyFont="1" applyFill="1" applyBorder="1" applyAlignment="1">
      <alignment vertical="center" wrapText="1"/>
    </xf>
    <xf numFmtId="165" fontId="18" fillId="0" borderId="2" xfId="0" applyNumberFormat="1" applyFont="1" applyFill="1" applyBorder="1" applyAlignment="1">
      <alignment vertical="center"/>
    </xf>
    <xf numFmtId="165" fontId="18" fillId="0" borderId="1" xfId="0" applyNumberFormat="1" applyFont="1" applyFill="1" applyBorder="1" applyAlignment="1">
      <alignment vertical="center"/>
    </xf>
    <xf numFmtId="165" fontId="18" fillId="0" borderId="3" xfId="0" applyNumberFormat="1" applyFont="1" applyFill="1" applyBorder="1" applyAlignment="1">
      <alignment vertical="center"/>
    </xf>
    <xf numFmtId="3" fontId="19" fillId="0" borderId="1" xfId="0" applyNumberFormat="1" applyFont="1" applyFill="1" applyBorder="1" applyAlignment="1">
      <alignment vertical="center" wrapText="1"/>
    </xf>
    <xf numFmtId="0" fontId="30" fillId="4" borderId="1" xfId="0" applyFont="1" applyFill="1" applyBorder="1" applyAlignment="1">
      <alignment vertical="center" wrapText="1"/>
    </xf>
    <xf numFmtId="0" fontId="14" fillId="0" borderId="0" xfId="0" applyFont="1" applyAlignment="1">
      <alignment vertical="center" wrapText="1"/>
    </xf>
    <xf numFmtId="0" fontId="20" fillId="0" borderId="0" xfId="0" applyFont="1" applyFill="1" applyAlignment="1">
      <alignment vertical="center" wrapText="1"/>
    </xf>
    <xf numFmtId="0" fontId="19" fillId="0" borderId="1" xfId="0" applyFont="1" applyFill="1" applyBorder="1" applyAlignment="1">
      <alignment vertical="center"/>
    </xf>
    <xf numFmtId="3" fontId="17" fillId="0" borderId="1" xfId="0" applyNumberFormat="1" applyFont="1" applyFill="1" applyBorder="1" applyAlignment="1">
      <alignment vertical="center"/>
    </xf>
    <xf numFmtId="0" fontId="17" fillId="0" borderId="1" xfId="0" applyFont="1" applyBorder="1" applyAlignment="1">
      <alignment vertical="center"/>
    </xf>
    <xf numFmtId="0" fontId="30" fillId="4" borderId="1" xfId="0" applyFont="1" applyFill="1" applyBorder="1" applyAlignment="1">
      <alignment vertical="center"/>
    </xf>
    <xf numFmtId="166" fontId="17" fillId="0" borderId="0" xfId="0" applyNumberFormat="1" applyFont="1" applyBorder="1" applyAlignment="1">
      <alignment vertical="center"/>
    </xf>
    <xf numFmtId="166" fontId="14" fillId="0" borderId="0" xfId="0" applyNumberFormat="1" applyFont="1" applyBorder="1" applyAlignment="1">
      <alignment vertical="center"/>
    </xf>
    <xf numFmtId="0" fontId="19" fillId="0" borderId="1" xfId="0" applyFont="1" applyBorder="1" applyAlignment="1">
      <alignment vertical="center"/>
    </xf>
    <xf numFmtId="165" fontId="17" fillId="0" borderId="2" xfId="0" applyNumberFormat="1" applyFont="1" applyFill="1" applyBorder="1" applyAlignment="1">
      <alignment horizontal="right" vertical="center"/>
    </xf>
    <xf numFmtId="165" fontId="17" fillId="0" borderId="1" xfId="0" applyNumberFormat="1" applyFont="1" applyFill="1" applyBorder="1" applyAlignment="1">
      <alignment horizontal="right" vertical="center"/>
    </xf>
    <xf numFmtId="0" fontId="14" fillId="0" borderId="0" xfId="0" applyFont="1" applyBorder="1" applyAlignment="1">
      <alignment horizontal="right" vertical="center"/>
    </xf>
    <xf numFmtId="165" fontId="14" fillId="0" borderId="0" xfId="0" applyNumberFormat="1" applyFont="1" applyBorder="1" applyAlignment="1">
      <alignment horizontal="right" vertical="center"/>
    </xf>
    <xf numFmtId="3" fontId="14" fillId="0" borderId="2" xfId="0" applyNumberFormat="1" applyFont="1" applyFill="1" applyBorder="1" applyAlignment="1">
      <alignment horizontal="right" vertical="center"/>
    </xf>
    <xf numFmtId="3" fontId="14" fillId="0" borderId="1" xfId="0" applyNumberFormat="1" applyFont="1" applyFill="1" applyBorder="1" applyAlignment="1">
      <alignment horizontal="right" vertical="center"/>
    </xf>
    <xf numFmtId="3" fontId="14" fillId="0" borderId="3" xfId="0" applyNumberFormat="1" applyFont="1" applyFill="1" applyBorder="1" applyAlignment="1">
      <alignment horizontal="right" vertical="center"/>
    </xf>
    <xf numFmtId="0" fontId="14" fillId="0" borderId="5" xfId="0" applyFont="1" applyFill="1" applyBorder="1" applyAlignment="1">
      <alignment horizontal="right" vertical="center"/>
    </xf>
    <xf numFmtId="0" fontId="14" fillId="0" borderId="0" xfId="0" applyFont="1" applyFill="1" applyBorder="1" applyAlignment="1">
      <alignment horizontal="right" vertical="center"/>
    </xf>
    <xf numFmtId="165" fontId="17" fillId="0" borderId="3" xfId="0" applyNumberFormat="1" applyFont="1" applyFill="1" applyBorder="1" applyAlignment="1">
      <alignment horizontal="right" vertical="center"/>
    </xf>
    <xf numFmtId="165" fontId="19" fillId="0" borderId="2" xfId="0" applyNumberFormat="1" applyFont="1" applyFill="1" applyBorder="1" applyAlignment="1">
      <alignment horizontal="right" vertical="center"/>
    </xf>
    <xf numFmtId="165" fontId="19" fillId="0" borderId="1" xfId="0" applyNumberFormat="1" applyFont="1" applyFill="1" applyBorder="1" applyAlignment="1">
      <alignment horizontal="right" vertical="center"/>
    </xf>
    <xf numFmtId="165" fontId="19" fillId="0" borderId="3" xfId="0" applyNumberFormat="1" applyFont="1" applyFill="1" applyBorder="1" applyAlignment="1">
      <alignment horizontal="right" vertical="center"/>
    </xf>
    <xf numFmtId="165" fontId="30" fillId="4" borderId="2" xfId="0" applyNumberFormat="1" applyFont="1" applyFill="1" applyBorder="1" applyAlignment="1">
      <alignment horizontal="right" vertical="center"/>
    </xf>
    <xf numFmtId="165" fontId="30" fillId="4" borderId="1" xfId="0" applyNumberFormat="1" applyFont="1" applyFill="1" applyBorder="1" applyAlignment="1">
      <alignment horizontal="right" vertical="center"/>
    </xf>
    <xf numFmtId="165" fontId="30" fillId="4" borderId="3" xfId="0" applyNumberFormat="1" applyFont="1" applyFill="1" applyBorder="1" applyAlignment="1">
      <alignment horizontal="right" vertical="center"/>
    </xf>
    <xf numFmtId="165" fontId="15" fillId="0" borderId="0" xfId="0" applyNumberFormat="1" applyFont="1" applyFill="1" applyBorder="1" applyAlignment="1">
      <alignment horizontal="right" vertical="center"/>
    </xf>
    <xf numFmtId="165" fontId="17" fillId="0" borderId="0" xfId="0" applyNumberFormat="1" applyFont="1" applyBorder="1" applyAlignment="1">
      <alignment horizontal="right" vertical="center"/>
    </xf>
    <xf numFmtId="0" fontId="17" fillId="0" borderId="0" xfId="0" applyFont="1" applyBorder="1" applyAlignment="1">
      <alignment horizontal="right" vertical="center"/>
    </xf>
    <xf numFmtId="0" fontId="31" fillId="0" borderId="0" xfId="0" applyFont="1" applyFill="1" applyBorder="1" applyAlignment="1">
      <alignment horizontal="right" vertical="center"/>
    </xf>
    <xf numFmtId="165" fontId="18" fillId="0" borderId="2" xfId="0" applyNumberFormat="1" applyFont="1" applyFill="1" applyBorder="1" applyAlignment="1">
      <alignment horizontal="right" vertical="center"/>
    </xf>
    <xf numFmtId="165" fontId="18" fillId="0" borderId="1" xfId="0" applyNumberFormat="1" applyFont="1" applyFill="1" applyBorder="1" applyAlignment="1">
      <alignment horizontal="right" vertical="center"/>
    </xf>
    <xf numFmtId="165" fontId="18" fillId="0" borderId="3" xfId="0" applyNumberFormat="1" applyFont="1" applyFill="1" applyBorder="1" applyAlignment="1">
      <alignment horizontal="right" vertical="center"/>
    </xf>
    <xf numFmtId="0" fontId="21" fillId="2" borderId="9" xfId="0" applyFont="1" applyFill="1" applyBorder="1" applyAlignment="1">
      <alignment horizontal="center" vertical="center" wrapText="1"/>
    </xf>
    <xf numFmtId="0" fontId="32" fillId="4" borderId="0" xfId="13" applyFont="1" applyFill="1" applyBorder="1" applyAlignment="1">
      <alignment vertical="center" wrapText="1"/>
    </xf>
    <xf numFmtId="167" fontId="29" fillId="0" borderId="5" xfId="10" applyNumberFormat="1" applyFont="1" applyFill="1" applyBorder="1" applyAlignment="1">
      <alignment horizontal="right" vertical="center"/>
    </xf>
    <xf numFmtId="167" fontId="29" fillId="0" borderId="0" xfId="10" applyNumberFormat="1" applyFont="1" applyFill="1" applyBorder="1" applyAlignment="1">
      <alignment horizontal="right" vertical="center"/>
    </xf>
    <xf numFmtId="167" fontId="29" fillId="0" borderId="6" xfId="10" applyNumberFormat="1" applyFont="1" applyFill="1" applyBorder="1" applyAlignment="1">
      <alignment horizontal="right" vertical="center"/>
    </xf>
    <xf numFmtId="10" fontId="29" fillId="0" borderId="0" xfId="10" applyNumberFormat="1" applyFont="1" applyFill="1" applyBorder="1" applyAlignment="1">
      <alignment vertical="center"/>
    </xf>
    <xf numFmtId="0" fontId="36" fillId="0" borderId="0" xfId="0" applyFont="1" applyFill="1" applyBorder="1" applyAlignment="1">
      <alignment vertical="center" wrapText="1"/>
    </xf>
    <xf numFmtId="0" fontId="9" fillId="0" borderId="5" xfId="4" applyNumberFormat="1" applyFont="1" applyFill="1" applyBorder="1" applyAlignment="1">
      <alignment horizontal="center" vertical="center" wrapText="1"/>
    </xf>
    <xf numFmtId="3" fontId="9" fillId="0" borderId="5" xfId="4" applyNumberFormat="1" applyFont="1" applyFill="1" applyBorder="1" applyAlignment="1">
      <alignment horizontal="right" vertical="center" wrapText="1"/>
    </xf>
    <xf numFmtId="165" fontId="4" fillId="0" borderId="0" xfId="0" applyNumberFormat="1" applyFont="1" applyFill="1" applyBorder="1" applyAlignment="1">
      <alignment horizontal="right" vertical="center"/>
    </xf>
    <xf numFmtId="10" fontId="4" fillId="0" borderId="0" xfId="10" applyNumberFormat="1" applyFont="1" applyBorder="1" applyAlignment="1">
      <alignment vertical="center"/>
    </xf>
    <xf numFmtId="0" fontId="19" fillId="0" borderId="0" xfId="0" applyFont="1" applyBorder="1" applyAlignment="1">
      <alignment vertical="center" wrapText="1"/>
    </xf>
    <xf numFmtId="165" fontId="30" fillId="4" borderId="1" xfId="13" applyNumberFormat="1" applyFont="1" applyFill="1" applyBorder="1" applyAlignment="1">
      <alignment horizontal="right" vertical="center" wrapText="1"/>
    </xf>
    <xf numFmtId="0" fontId="32" fillId="4" borderId="17" xfId="13" applyFont="1" applyFill="1" applyBorder="1" applyAlignment="1">
      <alignment vertical="center" wrapText="1"/>
    </xf>
    <xf numFmtId="0" fontId="32" fillId="4" borderId="1" xfId="13" applyFont="1" applyFill="1" applyBorder="1" applyAlignment="1">
      <alignment vertical="center" wrapText="1"/>
    </xf>
    <xf numFmtId="165" fontId="17" fillId="0" borderId="1" xfId="13" applyNumberFormat="1" applyFont="1" applyFill="1" applyBorder="1" applyAlignment="1">
      <alignment horizontal="right" vertical="center" wrapText="1"/>
    </xf>
    <xf numFmtId="165" fontId="17" fillId="0" borderId="12" xfId="13" applyNumberFormat="1" applyFont="1" applyFill="1" applyBorder="1" applyAlignment="1">
      <alignment horizontal="right" vertical="center" wrapText="1"/>
    </xf>
    <xf numFmtId="165" fontId="30" fillId="4" borderId="12" xfId="13" applyNumberFormat="1" applyFont="1" applyFill="1" applyBorder="1" applyAlignment="1">
      <alignment horizontal="right" vertical="center" wrapText="1"/>
    </xf>
    <xf numFmtId="165" fontId="33" fillId="4" borderId="1" xfId="0" applyNumberFormat="1" applyFont="1" applyFill="1" applyBorder="1" applyAlignment="1">
      <alignment horizontal="right" vertical="center" wrapText="1"/>
    </xf>
    <xf numFmtId="165" fontId="35" fillId="0" borderId="1" xfId="0" applyNumberFormat="1" applyFont="1" applyBorder="1" applyAlignment="1">
      <alignment horizontal="right" vertical="center" wrapText="1"/>
    </xf>
    <xf numFmtId="165" fontId="33" fillId="4" borderId="12" xfId="0" applyNumberFormat="1" applyFont="1" applyFill="1" applyBorder="1" applyAlignment="1">
      <alignment horizontal="right" vertical="center" wrapText="1"/>
    </xf>
    <xf numFmtId="165" fontId="35" fillId="0" borderId="12" xfId="0" applyNumberFormat="1" applyFont="1" applyBorder="1" applyAlignment="1">
      <alignment horizontal="right" vertical="center" wrapText="1"/>
    </xf>
    <xf numFmtId="165" fontId="33" fillId="4" borderId="2" xfId="0" applyNumberFormat="1" applyFont="1" applyFill="1" applyBorder="1" applyAlignment="1">
      <alignment horizontal="right" vertical="center" wrapText="1"/>
    </xf>
    <xf numFmtId="165" fontId="35" fillId="0" borderId="2" xfId="0" applyNumberFormat="1" applyFont="1" applyBorder="1" applyAlignment="1">
      <alignment horizontal="right" vertical="center" wrapText="1"/>
    </xf>
    <xf numFmtId="3" fontId="17" fillId="0" borderId="2" xfId="0" applyNumberFormat="1" applyFont="1" applyFill="1" applyBorder="1" applyAlignment="1">
      <alignment vertical="center"/>
    </xf>
    <xf numFmtId="3" fontId="18" fillId="0" borderId="1" xfId="0" applyNumberFormat="1" applyFont="1" applyFill="1" applyBorder="1" applyAlignment="1">
      <alignment vertical="center"/>
    </xf>
    <xf numFmtId="3" fontId="18" fillId="0" borderId="3" xfId="0" applyNumberFormat="1" applyFont="1" applyFill="1" applyBorder="1" applyAlignment="1">
      <alignment vertical="center"/>
    </xf>
    <xf numFmtId="3" fontId="17" fillId="0" borderId="2" xfId="0" applyNumberFormat="1" applyFont="1" applyFill="1" applyBorder="1" applyAlignment="1">
      <alignment horizontal="right" vertical="center"/>
    </xf>
    <xf numFmtId="3" fontId="18" fillId="0" borderId="1" xfId="0" applyNumberFormat="1" applyFont="1" applyFill="1" applyBorder="1" applyAlignment="1">
      <alignment horizontal="right" vertical="center"/>
    </xf>
    <xf numFmtId="3" fontId="18" fillId="0" borderId="3" xfId="0" applyNumberFormat="1" applyFont="1" applyFill="1" applyBorder="1" applyAlignment="1">
      <alignment horizontal="right" vertical="center"/>
    </xf>
    <xf numFmtId="3" fontId="17" fillId="0" borderId="3" xfId="0" applyNumberFormat="1" applyFont="1" applyFill="1" applyBorder="1" applyAlignment="1">
      <alignment horizontal="right" vertical="center"/>
    </xf>
    <xf numFmtId="0" fontId="18" fillId="0" borderId="0" xfId="0" applyFont="1" applyAlignment="1">
      <alignment vertical="center"/>
    </xf>
    <xf numFmtId="0" fontId="37" fillId="0" borderId="1" xfId="0" applyFont="1" applyBorder="1" applyAlignment="1">
      <alignment vertical="center"/>
    </xf>
    <xf numFmtId="0" fontId="38" fillId="0" borderId="2" xfId="0" applyFont="1" applyBorder="1"/>
    <xf numFmtId="0" fontId="38" fillId="0" borderId="1" xfId="0" applyFont="1" applyBorder="1"/>
    <xf numFmtId="0" fontId="38" fillId="0" borderId="3" xfId="0" applyFont="1" applyBorder="1"/>
    <xf numFmtId="0" fontId="38" fillId="0" borderId="1" xfId="0" applyFont="1" applyBorder="1" applyAlignment="1">
      <alignment horizontal="right"/>
    </xf>
    <xf numFmtId="0" fontId="38" fillId="0" borderId="2" xfId="0" applyFont="1" applyBorder="1" applyAlignment="1">
      <alignment horizontal="right"/>
    </xf>
    <xf numFmtId="0" fontId="38" fillId="0" borderId="3" xfId="0" applyFont="1" applyBorder="1" applyAlignment="1">
      <alignment horizontal="right"/>
    </xf>
    <xf numFmtId="0" fontId="38" fillId="0" borderId="0" xfId="0" applyFont="1"/>
    <xf numFmtId="0" fontId="17" fillId="0" borderId="0" xfId="0" applyFont="1"/>
    <xf numFmtId="0" fontId="18" fillId="0" borderId="1" xfId="0" applyFont="1" applyFill="1" applyBorder="1" applyAlignment="1">
      <alignment vertical="center"/>
    </xf>
    <xf numFmtId="0" fontId="19" fillId="3" borderId="13" xfId="0" applyFont="1" applyFill="1" applyBorder="1" applyAlignment="1">
      <alignment vertical="center" wrapText="1"/>
    </xf>
    <xf numFmtId="165" fontId="19" fillId="3" borderId="14" xfId="0" applyNumberFormat="1" applyFont="1" applyFill="1" applyBorder="1" applyAlignment="1">
      <alignment horizontal="right" vertical="center"/>
    </xf>
    <xf numFmtId="165" fontId="19" fillId="3" borderId="13" xfId="0" applyNumberFormat="1" applyFont="1" applyFill="1" applyBorder="1" applyAlignment="1">
      <alignment horizontal="right" vertical="center"/>
    </xf>
    <xf numFmtId="165" fontId="19" fillId="3" borderId="15" xfId="0" applyNumberFormat="1" applyFont="1" applyFill="1" applyBorder="1" applyAlignment="1">
      <alignment horizontal="right" vertical="center"/>
    </xf>
    <xf numFmtId="0" fontId="39" fillId="0" borderId="1" xfId="0" applyFont="1" applyBorder="1" applyAlignment="1">
      <alignment vertical="center"/>
    </xf>
    <xf numFmtId="165" fontId="34" fillId="0" borderId="2" xfId="0" applyNumberFormat="1" applyFont="1" applyBorder="1" applyAlignment="1">
      <alignment vertical="center"/>
    </xf>
    <xf numFmtId="165" fontId="34" fillId="0" borderId="1" xfId="0" applyNumberFormat="1" applyFont="1" applyBorder="1" applyAlignment="1">
      <alignment vertical="center"/>
    </xf>
    <xf numFmtId="165" fontId="34" fillId="0" borderId="3" xfId="0" applyNumberFormat="1" applyFont="1" applyBorder="1" applyAlignment="1">
      <alignment vertical="center"/>
    </xf>
    <xf numFmtId="165" fontId="34" fillId="0" borderId="1" xfId="0" applyNumberFormat="1" applyFont="1" applyBorder="1" applyAlignment="1">
      <alignment horizontal="right" vertical="center"/>
    </xf>
    <xf numFmtId="165" fontId="34" fillId="0" borderId="2" xfId="0" applyNumberFormat="1" applyFont="1" applyBorder="1" applyAlignment="1">
      <alignment horizontal="right" vertical="center"/>
    </xf>
    <xf numFmtId="165" fontId="34" fillId="0" borderId="3" xfId="0" applyNumberFormat="1" applyFont="1" applyBorder="1" applyAlignment="1">
      <alignment horizontal="right" vertical="center"/>
    </xf>
    <xf numFmtId="10" fontId="30" fillId="4" borderId="2" xfId="0" applyNumberFormat="1" applyFont="1" applyFill="1" applyBorder="1" applyAlignment="1">
      <alignment horizontal="right" vertical="center" wrapText="1"/>
    </xf>
    <xf numFmtId="10" fontId="30" fillId="4" borderId="1" xfId="0" applyNumberFormat="1" applyFont="1" applyFill="1" applyBorder="1" applyAlignment="1">
      <alignment horizontal="right" vertical="center" wrapText="1"/>
    </xf>
    <xf numFmtId="10" fontId="30" fillId="4" borderId="3" xfId="0" applyNumberFormat="1" applyFont="1" applyFill="1" applyBorder="1" applyAlignment="1">
      <alignment horizontal="right" vertical="center" wrapText="1"/>
    </xf>
    <xf numFmtId="0" fontId="41" fillId="4" borderId="1" xfId="4" applyFont="1" applyFill="1" applyBorder="1" applyAlignment="1">
      <alignment vertical="center"/>
    </xf>
    <xf numFmtId="0" fontId="41" fillId="4" borderId="1" xfId="0" applyFont="1" applyFill="1" applyBorder="1" applyAlignment="1">
      <alignment vertical="center"/>
    </xf>
    <xf numFmtId="10" fontId="41" fillId="4" borderId="2" xfId="0" applyNumberFormat="1" applyFont="1" applyFill="1" applyBorder="1" applyAlignment="1">
      <alignment horizontal="right" vertical="center" wrapText="1"/>
    </xf>
    <xf numFmtId="10" fontId="41" fillId="4" borderId="1" xfId="0" applyNumberFormat="1" applyFont="1" applyFill="1" applyBorder="1" applyAlignment="1">
      <alignment horizontal="right" vertical="center" wrapText="1"/>
    </xf>
    <xf numFmtId="10" fontId="41" fillId="4" borderId="3" xfId="0" applyNumberFormat="1" applyFont="1" applyFill="1" applyBorder="1" applyAlignment="1">
      <alignment horizontal="right" vertical="center" wrapText="1"/>
    </xf>
    <xf numFmtId="0" fontId="18" fillId="0" borderId="0" xfId="0" applyFont="1"/>
    <xf numFmtId="10" fontId="41" fillId="4" borderId="2" xfId="10" applyNumberFormat="1" applyFont="1" applyFill="1" applyBorder="1" applyAlignment="1">
      <alignment horizontal="right" vertical="center"/>
    </xf>
    <xf numFmtId="10" fontId="41" fillId="4" borderId="1" xfId="10" applyNumberFormat="1" applyFont="1" applyFill="1" applyBorder="1" applyAlignment="1">
      <alignment horizontal="right" vertical="center"/>
    </xf>
    <xf numFmtId="10" fontId="41" fillId="4" borderId="3" xfId="10" applyNumberFormat="1" applyFont="1" applyFill="1" applyBorder="1" applyAlignment="1">
      <alignment horizontal="right" vertical="center"/>
    </xf>
    <xf numFmtId="0" fontId="17" fillId="0" borderId="1" xfId="0" applyFont="1" applyBorder="1"/>
    <xf numFmtId="0" fontId="17" fillId="0" borderId="2" xfId="0" applyFont="1" applyBorder="1" applyAlignment="1">
      <alignment horizontal="right"/>
    </xf>
    <xf numFmtId="0" fontId="17" fillId="0" borderId="1" xfId="0" applyFont="1" applyBorder="1" applyAlignment="1">
      <alignment horizontal="right"/>
    </xf>
    <xf numFmtId="0" fontId="17" fillId="0" borderId="3" xfId="0" applyFont="1" applyBorder="1" applyAlignment="1">
      <alignment horizontal="right"/>
    </xf>
    <xf numFmtId="0" fontId="42" fillId="4" borderId="1" xfId="0" applyFont="1" applyFill="1" applyBorder="1" applyAlignment="1">
      <alignment vertical="center" wrapText="1"/>
    </xf>
    <xf numFmtId="10" fontId="42" fillId="4" borderId="2" xfId="10" applyNumberFormat="1" applyFont="1" applyFill="1" applyBorder="1" applyAlignment="1">
      <alignment horizontal="right" vertical="center"/>
    </xf>
    <xf numFmtId="10" fontId="42" fillId="4" borderId="1" xfId="10" applyNumberFormat="1" applyFont="1" applyFill="1" applyBorder="1" applyAlignment="1">
      <alignment horizontal="right" vertical="center"/>
    </xf>
    <xf numFmtId="10" fontId="42" fillId="4" borderId="3" xfId="10" applyNumberFormat="1" applyFont="1" applyFill="1" applyBorder="1" applyAlignment="1">
      <alignment horizontal="right" vertical="center"/>
    </xf>
    <xf numFmtId="0" fontId="43" fillId="0" borderId="0" xfId="0" applyFont="1"/>
    <xf numFmtId="0" fontId="41" fillId="4" borderId="1" xfId="0" applyFont="1" applyFill="1" applyBorder="1" applyAlignment="1">
      <alignment vertical="center" wrapText="1"/>
    </xf>
    <xf numFmtId="0" fontId="41" fillId="4" borderId="1" xfId="4" applyFont="1" applyFill="1" applyBorder="1" applyAlignment="1">
      <alignment vertical="center" wrapText="1"/>
    </xf>
    <xf numFmtId="0" fontId="14" fillId="0" borderId="0" xfId="0" applyFont="1"/>
    <xf numFmtId="0" fontId="21" fillId="2" borderId="4" xfId="0" applyFont="1" applyFill="1" applyBorder="1" applyAlignment="1">
      <alignment horizontal="center" vertical="center" wrapText="1"/>
    </xf>
    <xf numFmtId="0" fontId="22" fillId="4" borderId="20" xfId="13" applyNumberFormat="1" applyFont="1" applyFill="1" applyBorder="1" applyAlignment="1">
      <alignment vertical="center" wrapText="1"/>
    </xf>
    <xf numFmtId="3" fontId="22" fillId="2" borderId="19" xfId="4" applyNumberFormat="1" applyFont="1" applyFill="1" applyBorder="1" applyAlignment="1">
      <alignment horizontal="right" vertical="center" wrapText="1"/>
    </xf>
    <xf numFmtId="3" fontId="22" fillId="2" borderId="9" xfId="4" applyNumberFormat="1" applyFont="1" applyFill="1" applyBorder="1" applyAlignment="1">
      <alignment horizontal="right" vertical="center" wrapText="1"/>
    </xf>
    <xf numFmtId="3" fontId="22" fillId="2" borderId="10" xfId="4" applyNumberFormat="1" applyFont="1" applyFill="1" applyBorder="1" applyAlignment="1">
      <alignment horizontal="right" vertical="center" wrapText="1"/>
    </xf>
    <xf numFmtId="3" fontId="17" fillId="0" borderId="0" xfId="0" applyNumberFormat="1" applyFont="1" applyFill="1" applyBorder="1" applyAlignment="1">
      <alignment horizontal="right" vertical="center"/>
    </xf>
    <xf numFmtId="0" fontId="33" fillId="4" borderId="1" xfId="0" applyFont="1" applyFill="1" applyBorder="1" applyAlignment="1">
      <alignment vertical="center" wrapText="1"/>
    </xf>
    <xf numFmtId="0" fontId="39" fillId="0" borderId="1" xfId="0" applyFont="1" applyBorder="1" applyAlignment="1">
      <alignment vertical="center" wrapText="1"/>
    </xf>
    <xf numFmtId="3" fontId="44" fillId="0" borderId="0" xfId="0" applyNumberFormat="1" applyFont="1" applyFill="1" applyBorder="1" applyAlignment="1">
      <alignment vertical="center"/>
    </xf>
    <xf numFmtId="165" fontId="44" fillId="0" borderId="0" xfId="0" applyNumberFormat="1" applyFont="1" applyFill="1" applyBorder="1" applyAlignment="1">
      <alignment vertical="center"/>
    </xf>
    <xf numFmtId="2" fontId="17" fillId="0" borderId="0" xfId="0" applyNumberFormat="1" applyFont="1" applyBorder="1" applyAlignment="1">
      <alignment vertical="center"/>
    </xf>
    <xf numFmtId="0" fontId="17" fillId="0" borderId="0" xfId="0" applyFont="1" applyFill="1" applyBorder="1" applyAlignment="1">
      <alignment vertical="center"/>
    </xf>
    <xf numFmtId="0" fontId="18" fillId="0" borderId="0" xfId="0" applyFont="1" applyFill="1" applyBorder="1" applyAlignment="1">
      <alignment vertical="center"/>
    </xf>
    <xf numFmtId="165" fontId="18" fillId="0" borderId="0" xfId="0" applyNumberFormat="1" applyFont="1" applyFill="1" applyBorder="1" applyAlignment="1">
      <alignment vertical="center"/>
    </xf>
    <xf numFmtId="0" fontId="19" fillId="0" borderId="0" xfId="0" applyFont="1" applyFill="1" applyBorder="1" applyAlignment="1">
      <alignment vertical="center"/>
    </xf>
    <xf numFmtId="0" fontId="19" fillId="0" borderId="0" xfId="0" applyFont="1" applyBorder="1" applyAlignment="1">
      <alignment vertical="center"/>
    </xf>
    <xf numFmtId="3" fontId="17" fillId="0" borderId="3" xfId="0" applyNumberFormat="1" applyFont="1" applyFill="1" applyBorder="1" applyAlignment="1">
      <alignment vertical="center"/>
    </xf>
    <xf numFmtId="0" fontId="43" fillId="0" borderId="0" xfId="0" applyFont="1" applyFill="1" applyBorder="1" applyAlignment="1">
      <alignment vertical="center"/>
    </xf>
    <xf numFmtId="0" fontId="44" fillId="0" borderId="0" xfId="0" applyFont="1" applyBorder="1" applyAlignment="1">
      <alignment vertical="center"/>
    </xf>
    <xf numFmtId="3" fontId="22" fillId="2" borderId="5" xfId="4" applyNumberFormat="1" applyFont="1" applyFill="1" applyBorder="1" applyAlignment="1">
      <alignment horizontal="right" vertical="center" wrapText="1"/>
    </xf>
    <xf numFmtId="3" fontId="22" fillId="2" borderId="0" xfId="4" applyNumberFormat="1" applyFont="1" applyFill="1" applyBorder="1" applyAlignment="1">
      <alignment horizontal="right" vertical="center" wrapText="1"/>
    </xf>
    <xf numFmtId="3" fontId="22" fillId="2" borderId="6" xfId="4" applyNumberFormat="1" applyFont="1" applyFill="1" applyBorder="1" applyAlignment="1">
      <alignment horizontal="right" vertical="center" wrapText="1"/>
    </xf>
    <xf numFmtId="0" fontId="19" fillId="0" borderId="1" xfId="0" applyFont="1" applyBorder="1" applyAlignment="1">
      <alignment vertical="center" wrapText="1"/>
    </xf>
    <xf numFmtId="165" fontId="44" fillId="0" borderId="0" xfId="0" applyNumberFormat="1" applyFont="1" applyBorder="1" applyAlignment="1">
      <alignment vertical="center"/>
    </xf>
    <xf numFmtId="0" fontId="18" fillId="0" borderId="1" xfId="0" applyFont="1" applyFill="1" applyBorder="1" applyAlignment="1">
      <alignment horizontal="left" vertical="center" wrapText="1"/>
    </xf>
    <xf numFmtId="0" fontId="19" fillId="0" borderId="0" xfId="0" applyFont="1" applyFill="1" applyAlignment="1">
      <alignment vertical="center" wrapText="1"/>
    </xf>
    <xf numFmtId="0" fontId="17" fillId="0" borderId="1" xfId="5" applyFont="1" applyFill="1" applyBorder="1" applyAlignment="1">
      <alignment horizontal="left" vertical="center" wrapText="1"/>
    </xf>
    <xf numFmtId="0" fontId="18" fillId="0" borderId="1" xfId="0" applyFont="1" applyFill="1" applyBorder="1" applyAlignment="1">
      <alignment horizontal="left" vertical="center"/>
    </xf>
    <xf numFmtId="0" fontId="18" fillId="0" borderId="1" xfId="5" applyFont="1" applyFill="1" applyBorder="1" applyAlignment="1">
      <alignment horizontal="left" vertical="center"/>
    </xf>
    <xf numFmtId="0" fontId="19" fillId="0" borderId="1" xfId="0" applyFont="1" applyFill="1" applyBorder="1" applyAlignment="1">
      <alignment horizontal="left" vertical="center"/>
    </xf>
    <xf numFmtId="165" fontId="18" fillId="0" borderId="1" xfId="5" applyNumberFormat="1" applyFont="1" applyFill="1" applyBorder="1" applyAlignment="1">
      <alignment vertical="center"/>
    </xf>
    <xf numFmtId="165" fontId="18" fillId="0" borderId="3" xfId="5" applyNumberFormat="1" applyFont="1" applyFill="1" applyBorder="1" applyAlignment="1">
      <alignment vertical="center"/>
    </xf>
    <xf numFmtId="165" fontId="17" fillId="0" borderId="1" xfId="5" applyNumberFormat="1" applyFont="1" applyFill="1" applyBorder="1" applyAlignment="1">
      <alignment vertical="center"/>
    </xf>
    <xf numFmtId="165" fontId="17" fillId="0" borderId="3" xfId="5" applyNumberFormat="1" applyFont="1" applyFill="1" applyBorder="1" applyAlignment="1">
      <alignment vertical="center"/>
    </xf>
    <xf numFmtId="0" fontId="18" fillId="0" borderId="1" xfId="5" applyFont="1" applyFill="1" applyBorder="1" applyAlignment="1">
      <alignment horizontal="left" vertical="center" wrapText="1"/>
    </xf>
    <xf numFmtId="0" fontId="18" fillId="0" borderId="0" xfId="0" applyFont="1" applyBorder="1" applyAlignment="1">
      <alignment vertical="center"/>
    </xf>
    <xf numFmtId="0" fontId="45" fillId="0" borderId="0" xfId="13" applyFont="1" applyBorder="1"/>
    <xf numFmtId="0" fontId="45" fillId="0" borderId="0" xfId="13" applyFont="1"/>
    <xf numFmtId="0" fontId="30" fillId="4" borderId="16" xfId="13" applyNumberFormat="1" applyFont="1" applyFill="1" applyBorder="1" applyAlignment="1">
      <alignment horizontal="center" vertical="center" wrapText="1"/>
    </xf>
    <xf numFmtId="0" fontId="46" fillId="0" borderId="0" xfId="13" applyFont="1" applyBorder="1"/>
    <xf numFmtId="3" fontId="30" fillId="2" borderId="16" xfId="4" applyNumberFormat="1" applyFont="1" applyFill="1" applyBorder="1" applyAlignment="1">
      <alignment horizontal="right" vertical="center" wrapText="1"/>
    </xf>
    <xf numFmtId="3" fontId="30" fillId="2" borderId="0" xfId="4" applyNumberFormat="1" applyFont="1" applyFill="1" applyBorder="1" applyAlignment="1">
      <alignment horizontal="right" vertical="center" wrapText="1"/>
    </xf>
    <xf numFmtId="3" fontId="17" fillId="0" borderId="1" xfId="13" applyNumberFormat="1" applyFont="1" applyFill="1" applyBorder="1" applyAlignment="1">
      <alignment horizontal="right" vertical="center"/>
    </xf>
    <xf numFmtId="3" fontId="17" fillId="0" borderId="18" xfId="13" applyNumberFormat="1" applyFont="1" applyFill="1" applyBorder="1" applyAlignment="1">
      <alignment horizontal="right" vertical="center"/>
    </xf>
    <xf numFmtId="3" fontId="17" fillId="0" borderId="17" xfId="13" applyNumberFormat="1" applyFont="1" applyFill="1" applyBorder="1" applyAlignment="1">
      <alignment horizontal="right" vertical="center"/>
    </xf>
    <xf numFmtId="0" fontId="17" fillId="0" borderId="1" xfId="13" applyFont="1" applyBorder="1" applyAlignment="1">
      <alignment vertical="center" wrapText="1"/>
    </xf>
    <xf numFmtId="0" fontId="17" fillId="0" borderId="18" xfId="13" applyFont="1" applyBorder="1" applyAlignment="1">
      <alignment horizontal="left" vertical="center" wrapText="1"/>
    </xf>
    <xf numFmtId="0" fontId="17" fillId="0" borderId="17" xfId="13" applyFont="1" applyBorder="1" applyAlignment="1">
      <alignment horizontal="left" vertical="center" wrapText="1"/>
    </xf>
    <xf numFmtId="0" fontId="17" fillId="0" borderId="1" xfId="13" applyFont="1" applyBorder="1" applyAlignment="1">
      <alignment horizontal="left" vertical="center" wrapText="1"/>
    </xf>
    <xf numFmtId="0" fontId="30" fillId="4" borderId="1" xfId="13" applyFont="1" applyFill="1" applyBorder="1" applyAlignment="1">
      <alignment vertical="center" wrapText="1"/>
    </xf>
    <xf numFmtId="0" fontId="30" fillId="4" borderId="18" xfId="13" applyFont="1" applyFill="1" applyBorder="1" applyAlignment="1">
      <alignment vertical="center" wrapText="1"/>
    </xf>
    <xf numFmtId="0" fontId="30" fillId="4" borderId="17" xfId="13" applyFont="1" applyFill="1" applyBorder="1" applyAlignment="1">
      <alignment vertical="center" wrapText="1"/>
    </xf>
    <xf numFmtId="0" fontId="17" fillId="0" borderId="1" xfId="13" applyFont="1" applyBorder="1" applyAlignment="1">
      <alignment horizontal="right" vertical="center" wrapText="1"/>
    </xf>
    <xf numFmtId="0" fontId="17" fillId="0" borderId="18" xfId="13" applyFont="1" applyBorder="1" applyAlignment="1">
      <alignment horizontal="right" vertical="center" wrapText="1"/>
    </xf>
    <xf numFmtId="0" fontId="17" fillId="0" borderId="17" xfId="13" applyFont="1" applyBorder="1" applyAlignment="1">
      <alignment horizontal="right" vertical="center" wrapText="1"/>
    </xf>
    <xf numFmtId="0" fontId="30" fillId="8" borderId="1" xfId="13" applyFont="1" applyFill="1" applyBorder="1" applyAlignment="1">
      <alignment vertical="center" wrapText="1"/>
    </xf>
    <xf numFmtId="0" fontId="30" fillId="8" borderId="18" xfId="13" applyFont="1" applyFill="1" applyBorder="1" applyAlignment="1">
      <alignment vertical="center" wrapText="1"/>
    </xf>
    <xf numFmtId="0" fontId="30" fillId="8" borderId="17" xfId="13" applyFont="1" applyFill="1" applyBorder="1" applyAlignment="1">
      <alignment vertical="center" wrapText="1"/>
    </xf>
    <xf numFmtId="165" fontId="30" fillId="8" borderId="12" xfId="13" applyNumberFormat="1" applyFont="1" applyFill="1" applyBorder="1" applyAlignment="1">
      <alignment horizontal="right" vertical="center" wrapText="1"/>
    </xf>
    <xf numFmtId="165" fontId="30" fillId="8" borderId="1" xfId="13" applyNumberFormat="1" applyFont="1" applyFill="1" applyBorder="1" applyAlignment="1">
      <alignment horizontal="right" vertical="center" wrapText="1"/>
    </xf>
    <xf numFmtId="0" fontId="30" fillId="7" borderId="1" xfId="13" applyFont="1" applyFill="1" applyBorder="1" applyAlignment="1">
      <alignment vertical="center" wrapText="1"/>
    </xf>
    <xf numFmtId="0" fontId="30" fillId="7" borderId="18" xfId="13" applyFont="1" applyFill="1" applyBorder="1" applyAlignment="1">
      <alignment vertical="center" wrapText="1"/>
    </xf>
    <xf numFmtId="0" fontId="30" fillId="7" borderId="17" xfId="13" applyFont="1" applyFill="1" applyBorder="1" applyAlignment="1">
      <alignment vertical="center" wrapText="1"/>
    </xf>
    <xf numFmtId="165" fontId="30" fillId="7" borderId="12" xfId="13" applyNumberFormat="1" applyFont="1" applyFill="1" applyBorder="1" applyAlignment="1">
      <alignment horizontal="right" vertical="center" wrapText="1"/>
    </xf>
    <xf numFmtId="165" fontId="30" fillId="7" borderId="1" xfId="13" applyNumberFormat="1" applyFont="1" applyFill="1" applyBorder="1" applyAlignment="1">
      <alignment horizontal="right" vertical="center" wrapText="1"/>
    </xf>
    <xf numFmtId="0" fontId="17" fillId="0" borderId="1" xfId="13" applyFont="1" applyBorder="1" applyAlignment="1">
      <alignment horizontal="left" vertical="center" wrapText="1" indent="1"/>
    </xf>
    <xf numFmtId="0" fontId="17" fillId="0" borderId="18" xfId="13" applyFont="1" applyBorder="1" applyAlignment="1">
      <alignment horizontal="left" vertical="center" wrapText="1" indent="1"/>
    </xf>
    <xf numFmtId="0" fontId="17" fillId="0" borderId="17" xfId="13" applyFont="1" applyBorder="1" applyAlignment="1">
      <alignment horizontal="left" vertical="center" wrapText="1" indent="1"/>
    </xf>
    <xf numFmtId="165" fontId="17" fillId="0" borderId="12" xfId="13" applyNumberFormat="1" applyFont="1" applyBorder="1" applyAlignment="1">
      <alignment horizontal="right" vertical="center" wrapText="1"/>
    </xf>
    <xf numFmtId="165" fontId="17" fillId="0" borderId="1" xfId="13" applyNumberFormat="1" applyFont="1" applyBorder="1" applyAlignment="1">
      <alignment horizontal="right" vertical="center" wrapText="1"/>
    </xf>
    <xf numFmtId="0" fontId="19" fillId="0" borderId="1" xfId="13" applyFont="1" applyBorder="1" applyAlignment="1">
      <alignment vertical="center" wrapText="1"/>
    </xf>
    <xf numFmtId="0" fontId="19" fillId="0" borderId="18" xfId="13" applyFont="1" applyBorder="1" applyAlignment="1">
      <alignment vertical="center" wrapText="1"/>
    </xf>
    <xf numFmtId="0" fontId="19" fillId="0" borderId="17" xfId="13" applyFont="1" applyBorder="1" applyAlignment="1">
      <alignment vertical="center" wrapText="1"/>
    </xf>
    <xf numFmtId="165" fontId="19" fillId="0" borderId="12" xfId="13" applyNumberFormat="1" applyFont="1" applyBorder="1" applyAlignment="1">
      <alignment horizontal="right" vertical="center" wrapText="1"/>
    </xf>
    <xf numFmtId="165" fontId="19" fillId="0" borderId="1" xfId="13" applyNumberFormat="1" applyFont="1" applyBorder="1" applyAlignment="1">
      <alignment horizontal="right" vertical="center" wrapText="1"/>
    </xf>
    <xf numFmtId="0" fontId="19" fillId="0" borderId="1" xfId="13" applyFont="1" applyBorder="1" applyAlignment="1">
      <alignment horizontal="left" vertical="center" wrapText="1" indent="1"/>
    </xf>
    <xf numFmtId="0" fontId="19" fillId="0" borderId="18" xfId="13" applyFont="1" applyBorder="1" applyAlignment="1">
      <alignment horizontal="left" vertical="center" wrapText="1" indent="1"/>
    </xf>
    <xf numFmtId="0" fontId="19" fillId="0" borderId="17" xfId="13" applyFont="1" applyBorder="1" applyAlignment="1">
      <alignment horizontal="left" vertical="center" wrapText="1" indent="1"/>
    </xf>
    <xf numFmtId="0" fontId="17" fillId="0" borderId="1" xfId="13" applyFont="1" applyBorder="1" applyAlignment="1">
      <alignment horizontal="left" vertical="center" wrapText="1" indent="3"/>
    </xf>
    <xf numFmtId="0" fontId="17" fillId="0" borderId="18" xfId="13" applyFont="1" applyBorder="1" applyAlignment="1">
      <alignment horizontal="left" vertical="center" wrapText="1" indent="3"/>
    </xf>
    <xf numFmtId="0" fontId="17" fillId="0" borderId="17" xfId="13" applyFont="1" applyBorder="1" applyAlignment="1">
      <alignment horizontal="left" vertical="center" wrapText="1" indent="3"/>
    </xf>
    <xf numFmtId="0" fontId="17" fillId="0" borderId="12" xfId="13" applyFont="1" applyBorder="1" applyAlignment="1">
      <alignment horizontal="center" vertical="center" wrapText="1"/>
    </xf>
    <xf numFmtId="0" fontId="17" fillId="0" borderId="1" xfId="13" applyFont="1" applyBorder="1" applyAlignment="1">
      <alignment horizontal="center" vertical="center" wrapText="1"/>
    </xf>
    <xf numFmtId="0" fontId="17" fillId="0" borderId="0" xfId="13" applyFont="1" applyBorder="1"/>
    <xf numFmtId="0" fontId="47" fillId="0" borderId="0" xfId="13" applyFont="1" applyBorder="1"/>
    <xf numFmtId="0" fontId="17" fillId="0" borderId="1" xfId="13" applyFont="1" applyBorder="1"/>
    <xf numFmtId="0" fontId="19" fillId="0" borderId="12" xfId="13" applyFont="1" applyBorder="1" applyAlignment="1">
      <alignment horizontal="right" vertical="center" wrapText="1"/>
    </xf>
    <xf numFmtId="0" fontId="19" fillId="0" borderId="1" xfId="13" applyFont="1" applyBorder="1" applyAlignment="1">
      <alignment horizontal="right" vertical="center" wrapText="1"/>
    </xf>
    <xf numFmtId="0" fontId="30" fillId="0" borderId="1" xfId="13" applyFont="1" applyBorder="1" applyAlignment="1">
      <alignment vertical="center" wrapText="1"/>
    </xf>
    <xf numFmtId="0" fontId="30" fillId="0" borderId="18" xfId="13" applyFont="1" applyBorder="1" applyAlignment="1">
      <alignment vertical="center" wrapText="1"/>
    </xf>
    <xf numFmtId="0" fontId="30" fillId="0" borderId="17" xfId="13" applyFont="1" applyBorder="1" applyAlignment="1">
      <alignment vertical="center" wrapText="1"/>
    </xf>
    <xf numFmtId="165" fontId="30" fillId="0" borderId="12" xfId="13" applyNumberFormat="1" applyFont="1" applyBorder="1" applyAlignment="1">
      <alignment horizontal="right" vertical="center" wrapText="1"/>
    </xf>
    <xf numFmtId="165" fontId="30" fillId="0" borderId="1" xfId="13" applyNumberFormat="1" applyFont="1" applyBorder="1" applyAlignment="1">
      <alignment horizontal="right" vertical="center" wrapText="1"/>
    </xf>
    <xf numFmtId="0" fontId="17" fillId="0" borderId="5" xfId="0" applyFont="1" applyBorder="1" applyAlignment="1">
      <alignment vertical="center"/>
    </xf>
    <xf numFmtId="0" fontId="17" fillId="0" borderId="6" xfId="0" applyFont="1" applyBorder="1" applyAlignment="1">
      <alignment vertical="center"/>
    </xf>
    <xf numFmtId="165" fontId="48" fillId="4" borderId="2" xfId="0" applyNumberFormat="1" applyFont="1" applyFill="1" applyBorder="1" applyAlignment="1">
      <alignment vertical="center"/>
    </xf>
    <xf numFmtId="0" fontId="17" fillId="0" borderId="0" xfId="0" applyFont="1" applyAlignment="1">
      <alignment vertical="center" wrapText="1"/>
    </xf>
    <xf numFmtId="167" fontId="30" fillId="4" borderId="2" xfId="10" applyNumberFormat="1" applyFont="1" applyFill="1" applyBorder="1" applyAlignment="1">
      <alignment horizontal="right" vertical="center"/>
    </xf>
    <xf numFmtId="167" fontId="30" fillId="4" borderId="1" xfId="10" applyNumberFormat="1" applyFont="1" applyFill="1" applyBorder="1" applyAlignment="1">
      <alignment horizontal="right" vertical="center"/>
    </xf>
    <xf numFmtId="167" fontId="30" fillId="4" borderId="3" xfId="10" applyNumberFormat="1" applyFont="1" applyFill="1" applyBorder="1" applyAlignment="1">
      <alignment horizontal="right" vertical="center"/>
    </xf>
    <xf numFmtId="167" fontId="30" fillId="4" borderId="1" xfId="10" applyNumberFormat="1" applyFont="1" applyFill="1" applyBorder="1" applyAlignment="1">
      <alignment vertical="center"/>
    </xf>
    <xf numFmtId="10" fontId="30" fillId="4" borderId="1" xfId="10" applyNumberFormat="1" applyFont="1" applyFill="1" applyBorder="1" applyAlignment="1">
      <alignment vertical="center"/>
    </xf>
    <xf numFmtId="0" fontId="30" fillId="0" borderId="0" xfId="0" applyFont="1" applyFill="1" applyBorder="1" applyAlignment="1">
      <alignment vertical="center" wrapText="1"/>
    </xf>
    <xf numFmtId="167" fontId="30" fillId="0" borderId="5" xfId="10" applyNumberFormat="1" applyFont="1" applyFill="1" applyBorder="1" applyAlignment="1">
      <alignment horizontal="right" vertical="center"/>
    </xf>
    <xf numFmtId="167" fontId="30" fillId="0" borderId="0" xfId="10" applyNumberFormat="1" applyFont="1" applyFill="1" applyBorder="1" applyAlignment="1">
      <alignment horizontal="right" vertical="center"/>
    </xf>
    <xf numFmtId="167" fontId="30" fillId="0" borderId="6" xfId="10" applyNumberFormat="1" applyFont="1" applyFill="1" applyBorder="1" applyAlignment="1">
      <alignment horizontal="right" vertical="center"/>
    </xf>
    <xf numFmtId="10" fontId="30" fillId="0" borderId="0" xfId="10" applyNumberFormat="1" applyFont="1" applyFill="1" applyBorder="1" applyAlignment="1">
      <alignment vertical="center"/>
    </xf>
    <xf numFmtId="165" fontId="17" fillId="0" borderId="5" xfId="0" applyNumberFormat="1" applyFont="1" applyFill="1" applyBorder="1" applyAlignment="1">
      <alignment horizontal="right" vertical="center"/>
    </xf>
    <xf numFmtId="165" fontId="48" fillId="0" borderId="2" xfId="0" applyNumberFormat="1" applyFont="1" applyFill="1" applyBorder="1" applyAlignment="1">
      <alignment vertical="center"/>
    </xf>
    <xf numFmtId="165" fontId="48" fillId="0" borderId="1" xfId="0" applyNumberFormat="1" applyFont="1" applyFill="1" applyBorder="1" applyAlignment="1">
      <alignment vertical="center"/>
    </xf>
    <xf numFmtId="165" fontId="19" fillId="0" borderId="5" xfId="0" applyNumberFormat="1" applyFont="1" applyFill="1" applyBorder="1" applyAlignment="1">
      <alignment horizontal="right" vertical="center"/>
    </xf>
    <xf numFmtId="165" fontId="40" fillId="0" borderId="2" xfId="0" applyNumberFormat="1" applyFont="1" applyFill="1" applyBorder="1" applyAlignment="1">
      <alignment vertical="center"/>
    </xf>
    <xf numFmtId="165" fontId="40" fillId="0" borderId="1" xfId="0" applyNumberFormat="1" applyFont="1" applyFill="1" applyBorder="1" applyAlignment="1">
      <alignment vertical="center"/>
    </xf>
    <xf numFmtId="167" fontId="40" fillId="0" borderId="2" xfId="10" applyNumberFormat="1" applyFont="1" applyFill="1" applyBorder="1" applyAlignment="1">
      <alignment vertical="center"/>
    </xf>
    <xf numFmtId="167" fontId="40" fillId="0" borderId="1" xfId="10" applyNumberFormat="1" applyFont="1" applyFill="1" applyBorder="1" applyAlignment="1">
      <alignment vertical="center"/>
    </xf>
    <xf numFmtId="167" fontId="17" fillId="0" borderId="1" xfId="10" applyNumberFormat="1" applyFont="1" applyFill="1" applyBorder="1" applyAlignment="1">
      <alignment vertical="center"/>
    </xf>
    <xf numFmtId="167" fontId="17" fillId="0" borderId="3" xfId="10" applyNumberFormat="1" applyFont="1" applyFill="1" applyBorder="1" applyAlignment="1">
      <alignment vertical="center"/>
    </xf>
    <xf numFmtId="167" fontId="17" fillId="0" borderId="2" xfId="10" applyNumberFormat="1" applyFont="1" applyFill="1" applyBorder="1" applyAlignment="1">
      <alignment vertical="center"/>
    </xf>
    <xf numFmtId="3" fontId="40" fillId="0" borderId="2" xfId="0" applyNumberFormat="1" applyFont="1" applyFill="1" applyBorder="1" applyAlignment="1">
      <alignment vertical="center"/>
    </xf>
    <xf numFmtId="3" fontId="40" fillId="0" borderId="1" xfId="0" applyNumberFormat="1" applyFont="1" applyFill="1" applyBorder="1" applyAlignment="1">
      <alignment vertical="center"/>
    </xf>
    <xf numFmtId="3" fontId="17" fillId="0" borderId="5" xfId="0" applyNumberFormat="1" applyFont="1" applyFill="1" applyBorder="1" applyAlignment="1">
      <alignment horizontal="right" vertical="center"/>
    </xf>
    <xf numFmtId="165" fontId="48" fillId="4" borderId="1" xfId="0" applyNumberFormat="1" applyFont="1" applyFill="1" applyBorder="1" applyAlignment="1">
      <alignment vertical="center"/>
    </xf>
    <xf numFmtId="165" fontId="30" fillId="0" borderId="5" xfId="0" applyNumberFormat="1" applyFont="1" applyFill="1" applyBorder="1" applyAlignment="1">
      <alignment horizontal="right" vertical="center"/>
    </xf>
    <xf numFmtId="167" fontId="17" fillId="0" borderId="5" xfId="10" applyNumberFormat="1" applyFont="1" applyFill="1" applyBorder="1" applyAlignment="1">
      <alignment horizontal="right" vertical="center"/>
    </xf>
    <xf numFmtId="167" fontId="48" fillId="0" borderId="2" xfId="10" applyNumberFormat="1" applyFont="1" applyFill="1" applyBorder="1" applyAlignment="1">
      <alignment vertical="center"/>
    </xf>
    <xf numFmtId="167" fontId="48" fillId="0" borderId="1" xfId="10" applyNumberFormat="1" applyFont="1" applyFill="1" applyBorder="1" applyAlignment="1">
      <alignment vertical="center"/>
    </xf>
    <xf numFmtId="167" fontId="19" fillId="0" borderId="1" xfId="10" applyNumberFormat="1" applyFont="1" applyFill="1" applyBorder="1" applyAlignment="1">
      <alignment vertical="center"/>
    </xf>
    <xf numFmtId="167" fontId="19" fillId="0" borderId="3" xfId="10" applyNumberFormat="1" applyFont="1" applyFill="1" applyBorder="1" applyAlignment="1">
      <alignment vertical="center"/>
    </xf>
    <xf numFmtId="167" fontId="19" fillId="0" borderId="2" xfId="10" applyNumberFormat="1" applyFont="1" applyFill="1" applyBorder="1" applyAlignment="1">
      <alignment vertical="center"/>
    </xf>
    <xf numFmtId="167" fontId="19" fillId="0" borderId="5" xfId="10" applyNumberFormat="1" applyFont="1" applyFill="1" applyBorder="1" applyAlignment="1">
      <alignment horizontal="right" vertical="center"/>
    </xf>
    <xf numFmtId="0" fontId="17" fillId="0" borderId="0" xfId="0" applyFont="1" applyFill="1" applyAlignment="1">
      <alignment vertical="center" wrapText="1"/>
    </xf>
    <xf numFmtId="0" fontId="18" fillId="0" borderId="0" xfId="0" applyFont="1" applyAlignment="1">
      <alignment vertical="center" wrapText="1"/>
    </xf>
    <xf numFmtId="165" fontId="18" fillId="0" borderId="6" xfId="0" applyNumberFormat="1" applyFont="1" applyFill="1" applyBorder="1" applyAlignment="1">
      <alignment vertical="center"/>
    </xf>
    <xf numFmtId="0" fontId="34" fillId="0" borderId="0" xfId="0" applyFont="1" applyBorder="1" applyAlignment="1">
      <alignment horizontal="right" vertical="center" wrapText="1"/>
    </xf>
    <xf numFmtId="0" fontId="17" fillId="0" borderId="0" xfId="0" applyFont="1" applyBorder="1"/>
    <xf numFmtId="0" fontId="16" fillId="0" borderId="0" xfId="0" applyFont="1" applyAlignment="1">
      <alignment horizontal="right" vertical="center" wrapText="1"/>
    </xf>
    <xf numFmtId="0" fontId="23" fillId="0" borderId="0" xfId="0" applyFont="1" applyFill="1" applyAlignment="1">
      <alignment vertical="center" wrapText="1"/>
    </xf>
    <xf numFmtId="0" fontId="18" fillId="0" borderId="0" xfId="0" applyFont="1" applyFill="1" applyAlignment="1">
      <alignment vertical="center"/>
    </xf>
    <xf numFmtId="0" fontId="17" fillId="0" borderId="4" xfId="0" applyFont="1" applyFill="1" applyBorder="1" applyAlignment="1">
      <alignment horizontal="left" vertical="center" wrapText="1"/>
    </xf>
    <xf numFmtId="10" fontId="17" fillId="0" borderId="2" xfId="10" applyNumberFormat="1" applyFont="1" applyFill="1" applyBorder="1" applyAlignment="1">
      <alignment horizontal="right" vertical="center"/>
    </xf>
    <xf numFmtId="3" fontId="17" fillId="0" borderId="4" xfId="0" applyNumberFormat="1" applyFont="1" applyFill="1" applyBorder="1" applyAlignment="1">
      <alignment vertical="center"/>
    </xf>
    <xf numFmtId="3" fontId="17" fillId="0" borderId="0" xfId="0" applyNumberFormat="1" applyFont="1" applyFill="1" applyBorder="1" applyAlignment="1">
      <alignment vertical="center"/>
    </xf>
    <xf numFmtId="0" fontId="49" fillId="0" borderId="0" xfId="8" applyFont="1" applyBorder="1" applyAlignment="1">
      <alignment vertical="center"/>
    </xf>
    <xf numFmtId="0" fontId="18" fillId="0" borderId="0" xfId="8" applyFont="1" applyBorder="1" applyAlignment="1">
      <alignment vertical="center"/>
    </xf>
    <xf numFmtId="0" fontId="50" fillId="0" borderId="0" xfId="8" applyFont="1" applyBorder="1" applyAlignment="1">
      <alignment vertical="center"/>
    </xf>
    <xf numFmtId="165" fontId="17" fillId="0" borderId="0" xfId="0" applyNumberFormat="1" applyFont="1" applyFill="1" applyBorder="1" applyAlignment="1">
      <alignment vertical="center"/>
    </xf>
    <xf numFmtId="0" fontId="17" fillId="0" borderId="5" xfId="0" applyFont="1" applyBorder="1" applyAlignment="1">
      <alignment horizontal="right" vertical="center"/>
    </xf>
    <xf numFmtId="3" fontId="30" fillId="2" borderId="5" xfId="4" applyNumberFormat="1" applyFont="1" applyFill="1" applyBorder="1" applyAlignment="1">
      <alignment horizontal="right" vertical="center" wrapText="1"/>
    </xf>
    <xf numFmtId="0" fontId="17" fillId="0" borderId="2" xfId="13" applyFont="1" applyBorder="1" applyAlignment="1">
      <alignment horizontal="center" vertical="center" wrapText="1"/>
    </xf>
    <xf numFmtId="165" fontId="30" fillId="4" borderId="2" xfId="13" applyNumberFormat="1" applyFont="1" applyFill="1" applyBorder="1" applyAlignment="1">
      <alignment horizontal="right" vertical="center" wrapText="1"/>
    </xf>
    <xf numFmtId="0" fontId="17" fillId="0" borderId="2" xfId="13" applyFont="1" applyBorder="1"/>
    <xf numFmtId="0" fontId="19" fillId="0" borderId="2" xfId="13" applyFont="1" applyBorder="1" applyAlignment="1">
      <alignment horizontal="right" vertical="center" wrapText="1"/>
    </xf>
    <xf numFmtId="165" fontId="30" fillId="8" borderId="2" xfId="13" applyNumberFormat="1" applyFont="1" applyFill="1" applyBorder="1" applyAlignment="1">
      <alignment horizontal="right" vertical="center" wrapText="1"/>
    </xf>
    <xf numFmtId="165" fontId="30" fillId="7" borderId="2" xfId="13" applyNumberFormat="1" applyFont="1" applyFill="1" applyBorder="1" applyAlignment="1">
      <alignment horizontal="right" vertical="center" wrapText="1"/>
    </xf>
    <xf numFmtId="165" fontId="17" fillId="0" borderId="2" xfId="13" applyNumberFormat="1" applyFont="1" applyBorder="1" applyAlignment="1">
      <alignment horizontal="right" vertical="center" wrapText="1"/>
    </xf>
    <xf numFmtId="165" fontId="19" fillId="0" borderId="2" xfId="13" applyNumberFormat="1" applyFont="1" applyBorder="1" applyAlignment="1">
      <alignment horizontal="right" vertical="center" wrapText="1"/>
    </xf>
    <xf numFmtId="165" fontId="30" fillId="0" borderId="2" xfId="13" applyNumberFormat="1" applyFont="1" applyBorder="1" applyAlignment="1">
      <alignment horizontal="right" vertical="center" wrapText="1"/>
    </xf>
    <xf numFmtId="0" fontId="9" fillId="0" borderId="0" xfId="4" applyNumberFormat="1" applyFont="1" applyFill="1" applyBorder="1" applyAlignment="1">
      <alignment horizontal="center" vertical="center" wrapText="1"/>
    </xf>
    <xf numFmtId="3" fontId="9" fillId="0" borderId="0" xfId="4" applyNumberFormat="1" applyFont="1" applyFill="1" applyBorder="1" applyAlignment="1">
      <alignment horizontal="right" vertical="center" wrapText="1"/>
    </xf>
    <xf numFmtId="165" fontId="17" fillId="0" borderId="0" xfId="0" applyNumberFormat="1" applyFont="1" applyFill="1" applyBorder="1" applyAlignment="1">
      <alignment horizontal="right" vertical="center"/>
    </xf>
    <xf numFmtId="165" fontId="19" fillId="0" borderId="0" xfId="0" applyNumberFormat="1" applyFont="1" applyFill="1" applyBorder="1" applyAlignment="1">
      <alignment horizontal="right" vertical="center"/>
    </xf>
    <xf numFmtId="165" fontId="30" fillId="0" borderId="0" xfId="0" applyNumberFormat="1" applyFont="1" applyFill="1" applyBorder="1" applyAlignment="1">
      <alignment horizontal="right" vertical="center"/>
    </xf>
    <xf numFmtId="167" fontId="17" fillId="0" borderId="0" xfId="10" applyNumberFormat="1" applyFont="1" applyFill="1" applyBorder="1" applyAlignment="1">
      <alignment horizontal="right" vertical="center"/>
    </xf>
    <xf numFmtId="167" fontId="19" fillId="0" borderId="0" xfId="10" applyNumberFormat="1" applyFont="1" applyFill="1" applyBorder="1" applyAlignment="1">
      <alignment horizontal="right" vertical="center"/>
    </xf>
    <xf numFmtId="0" fontId="14" fillId="0" borderId="0" xfId="0" applyFont="1" applyBorder="1"/>
    <xf numFmtId="0" fontId="14" fillId="0" borderId="0" xfId="0" applyFont="1" applyAlignment="1">
      <alignment vertical="center" wrapText="1"/>
    </xf>
    <xf numFmtId="10" fontId="54" fillId="0" borderId="1" xfId="10" applyNumberFormat="1" applyFont="1" applyFill="1" applyBorder="1" applyAlignment="1">
      <alignment horizontal="right" vertical="center"/>
    </xf>
    <xf numFmtId="10" fontId="55" fillId="0" borderId="1" xfId="10" applyNumberFormat="1" applyFont="1" applyFill="1" applyBorder="1" applyAlignment="1">
      <alignment horizontal="right" vertical="center"/>
    </xf>
    <xf numFmtId="3" fontId="30" fillId="6" borderId="1" xfId="0" quotePrefix="1" applyNumberFormat="1" applyFont="1" applyFill="1" applyBorder="1" applyAlignment="1">
      <alignment vertical="center" wrapText="1"/>
    </xf>
    <xf numFmtId="10" fontId="30" fillId="6" borderId="1" xfId="10" applyNumberFormat="1" applyFont="1" applyFill="1" applyBorder="1" applyAlignment="1">
      <alignment horizontal="right" vertical="center"/>
    </xf>
    <xf numFmtId="10" fontId="30" fillId="6" borderId="2" xfId="10" applyNumberFormat="1" applyFont="1" applyFill="1" applyBorder="1" applyAlignment="1">
      <alignment horizontal="right" vertical="center"/>
    </xf>
    <xf numFmtId="0" fontId="30" fillId="6" borderId="0" xfId="0" applyFont="1" applyFill="1" applyBorder="1" applyAlignment="1">
      <alignment vertical="center"/>
    </xf>
    <xf numFmtId="3" fontId="30" fillId="6" borderId="1" xfId="0" applyNumberFormat="1" applyFont="1" applyFill="1" applyBorder="1" applyAlignment="1">
      <alignment vertical="center" wrapText="1"/>
    </xf>
    <xf numFmtId="0" fontId="17" fillId="0" borderId="6" xfId="0" applyFont="1" applyBorder="1" applyAlignment="1">
      <alignment horizontal="right" vertical="center"/>
    </xf>
    <xf numFmtId="167" fontId="30" fillId="4" borderId="3" xfId="10" applyNumberFormat="1" applyFont="1" applyFill="1" applyBorder="1" applyAlignment="1">
      <alignment vertical="center"/>
    </xf>
    <xf numFmtId="10" fontId="30" fillId="4" borderId="3" xfId="10" applyNumberFormat="1" applyFont="1" applyFill="1" applyBorder="1" applyAlignment="1">
      <alignment vertical="center"/>
    </xf>
    <xf numFmtId="165" fontId="55" fillId="0" borderId="1" xfId="0" applyNumberFormat="1" applyFont="1" applyFill="1" applyBorder="1" applyAlignment="1">
      <alignment vertical="center"/>
    </xf>
    <xf numFmtId="165" fontId="55" fillId="0" borderId="3" xfId="0" applyNumberFormat="1" applyFont="1" applyFill="1" applyBorder="1" applyAlignment="1">
      <alignment vertical="center"/>
    </xf>
    <xf numFmtId="0" fontId="19" fillId="0" borderId="0" xfId="0" applyFont="1"/>
    <xf numFmtId="10" fontId="30" fillId="4" borderId="2" xfId="10" applyNumberFormat="1" applyFont="1" applyFill="1" applyBorder="1" applyAlignment="1">
      <alignment horizontal="right" vertical="center"/>
    </xf>
    <xf numFmtId="10" fontId="30" fillId="4" borderId="1" xfId="10" applyNumberFormat="1" applyFont="1" applyFill="1" applyBorder="1" applyAlignment="1">
      <alignment horizontal="right" vertical="center"/>
    </xf>
    <xf numFmtId="10" fontId="30" fillId="4" borderId="3" xfId="10" applyNumberFormat="1" applyFont="1" applyFill="1" applyBorder="1" applyAlignment="1">
      <alignment horizontal="right" vertical="center"/>
    </xf>
    <xf numFmtId="10" fontId="53" fillId="0" borderId="2" xfId="10" applyNumberFormat="1" applyFont="1" applyFill="1" applyBorder="1" applyAlignment="1">
      <alignment horizontal="right" vertical="center"/>
    </xf>
    <xf numFmtId="10" fontId="53" fillId="0" borderId="1" xfId="10" applyNumberFormat="1" applyFont="1" applyFill="1" applyBorder="1" applyAlignment="1">
      <alignment horizontal="right" vertical="center"/>
    </xf>
    <xf numFmtId="174" fontId="30" fillId="4" borderId="2" xfId="10" applyNumberFormat="1" applyFont="1" applyFill="1" applyBorder="1" applyAlignment="1">
      <alignment horizontal="right" vertical="center"/>
    </xf>
    <xf numFmtId="174" fontId="30" fillId="4" borderId="1" xfId="10" applyNumberFormat="1" applyFont="1" applyFill="1" applyBorder="1" applyAlignment="1">
      <alignment horizontal="right" vertical="center"/>
    </xf>
    <xf numFmtId="0" fontId="17" fillId="0" borderId="0" xfId="0" applyFont="1" applyBorder="1" applyAlignment="1">
      <alignment horizontal="right" vertical="center"/>
    </xf>
    <xf numFmtId="3" fontId="22" fillId="2" borderId="30" xfId="0" applyNumberFormat="1" applyFont="1" applyFill="1" applyBorder="1" applyAlignment="1">
      <alignment horizontal="right" vertical="center" wrapText="1"/>
    </xf>
    <xf numFmtId="3" fontId="22" fillId="2" borderId="31" xfId="0" applyNumberFormat="1" applyFont="1" applyFill="1" applyBorder="1" applyAlignment="1">
      <alignment horizontal="right" vertical="center" wrapText="1"/>
    </xf>
    <xf numFmtId="0" fontId="17" fillId="0" borderId="31" xfId="0" applyFont="1" applyFill="1" applyBorder="1" applyAlignment="1">
      <alignment vertical="center"/>
    </xf>
    <xf numFmtId="165" fontId="17" fillId="0" borderId="32" xfId="0" applyNumberFormat="1" applyFont="1" applyFill="1" applyBorder="1" applyAlignment="1">
      <alignment vertical="center"/>
    </xf>
    <xf numFmtId="165" fontId="17" fillId="0" borderId="33" xfId="0" applyNumberFormat="1" applyFont="1" applyFill="1" applyBorder="1" applyAlignment="1">
      <alignment vertical="center"/>
    </xf>
    <xf numFmtId="3" fontId="14" fillId="0" borderId="32" xfId="0" applyNumberFormat="1" applyFont="1" applyFill="1" applyBorder="1" applyAlignment="1">
      <alignment vertical="center"/>
    </xf>
    <xf numFmtId="165" fontId="30" fillId="4" borderId="32" xfId="0" applyNumberFormat="1" applyFont="1" applyFill="1" applyBorder="1" applyAlignment="1">
      <alignment vertical="center"/>
    </xf>
    <xf numFmtId="165" fontId="30" fillId="4" borderId="33" xfId="0" applyNumberFormat="1" applyFont="1" applyFill="1" applyBorder="1" applyAlignment="1">
      <alignment vertical="center"/>
    </xf>
    <xf numFmtId="3" fontId="17" fillId="0" borderId="32" xfId="0" applyNumberFormat="1" applyFont="1" applyFill="1" applyBorder="1" applyAlignment="1">
      <alignment horizontal="right" vertical="center"/>
    </xf>
    <xf numFmtId="165" fontId="17" fillId="0" borderId="32" xfId="0" applyNumberFormat="1" applyFont="1" applyFill="1" applyBorder="1" applyAlignment="1">
      <alignment horizontal="right" vertical="center"/>
    </xf>
    <xf numFmtId="165" fontId="17" fillId="0" borderId="33" xfId="0" applyNumberFormat="1" applyFont="1" applyFill="1" applyBorder="1" applyAlignment="1">
      <alignment horizontal="right" vertical="center"/>
    </xf>
    <xf numFmtId="10" fontId="55" fillId="0" borderId="32" xfId="10" applyNumberFormat="1" applyFont="1" applyFill="1" applyBorder="1" applyAlignment="1">
      <alignment horizontal="right" vertical="center"/>
    </xf>
    <xf numFmtId="10" fontId="54" fillId="0" borderId="32" xfId="10" applyNumberFormat="1" applyFont="1" applyFill="1" applyBorder="1" applyAlignment="1">
      <alignment horizontal="right" vertical="center"/>
    </xf>
    <xf numFmtId="3" fontId="22" fillId="2" borderId="36" xfId="0" applyNumberFormat="1" applyFont="1" applyFill="1" applyBorder="1" applyAlignment="1">
      <alignment horizontal="right" vertical="center" wrapText="1"/>
    </xf>
    <xf numFmtId="3" fontId="22" fillId="2" borderId="37" xfId="0" applyNumberFormat="1" applyFont="1" applyFill="1" applyBorder="1" applyAlignment="1">
      <alignment horizontal="right" vertical="center" wrapText="1"/>
    </xf>
    <xf numFmtId="3" fontId="30" fillId="2" borderId="30" xfId="4" applyNumberFormat="1" applyFont="1" applyFill="1" applyBorder="1" applyAlignment="1">
      <alignment horizontal="right" vertical="center" wrapText="1"/>
    </xf>
    <xf numFmtId="3" fontId="30" fillId="2" borderId="31" xfId="4" applyNumberFormat="1" applyFont="1" applyFill="1" applyBorder="1" applyAlignment="1">
      <alignment horizontal="right" vertical="center" wrapText="1"/>
    </xf>
    <xf numFmtId="0" fontId="17" fillId="0" borderId="32" xfId="13" applyFont="1" applyBorder="1" applyAlignment="1">
      <alignment horizontal="center" vertical="center" wrapText="1"/>
    </xf>
    <xf numFmtId="0" fontId="17" fillId="0" borderId="33" xfId="13" applyFont="1" applyBorder="1" applyAlignment="1">
      <alignment horizontal="center" vertical="center" wrapText="1"/>
    </xf>
    <xf numFmtId="165" fontId="30" fillId="4" borderId="32" xfId="13" applyNumberFormat="1" applyFont="1" applyFill="1" applyBorder="1" applyAlignment="1">
      <alignment horizontal="right" vertical="center" wrapText="1"/>
    </xf>
    <xf numFmtId="165" fontId="30" fillId="4" borderId="33" xfId="13" applyNumberFormat="1" applyFont="1" applyFill="1" applyBorder="1" applyAlignment="1">
      <alignment horizontal="right" vertical="center" wrapText="1"/>
    </xf>
    <xf numFmtId="0" fontId="17" fillId="0" borderId="32" xfId="13" applyFont="1" applyBorder="1"/>
    <xf numFmtId="0" fontId="17" fillId="0" borderId="33" xfId="13" applyFont="1" applyBorder="1"/>
    <xf numFmtId="0" fontId="19" fillId="0" borderId="32" xfId="13" applyFont="1" applyBorder="1" applyAlignment="1">
      <alignment horizontal="right" vertical="center" wrapText="1"/>
    </xf>
    <xf numFmtId="0" fontId="19" fillId="0" borderId="33" xfId="13" applyFont="1" applyBorder="1" applyAlignment="1">
      <alignment horizontal="right" vertical="center" wrapText="1"/>
    </xf>
    <xf numFmtId="165" fontId="30" fillId="8" borderId="32" xfId="13" applyNumberFormat="1" applyFont="1" applyFill="1" applyBorder="1" applyAlignment="1">
      <alignment horizontal="right" vertical="center" wrapText="1"/>
    </xf>
    <xf numFmtId="165" fontId="30" fillId="8" borderId="33" xfId="13" applyNumberFormat="1" applyFont="1" applyFill="1" applyBorder="1" applyAlignment="1">
      <alignment horizontal="right" vertical="center" wrapText="1"/>
    </xf>
    <xf numFmtId="165" fontId="30" fillId="7" borderId="32" xfId="13" applyNumberFormat="1" applyFont="1" applyFill="1" applyBorder="1" applyAlignment="1">
      <alignment horizontal="right" vertical="center" wrapText="1"/>
    </xf>
    <xf numFmtId="165" fontId="30" fillId="7" borderId="33" xfId="13" applyNumberFormat="1" applyFont="1" applyFill="1" applyBorder="1" applyAlignment="1">
      <alignment horizontal="right" vertical="center" wrapText="1"/>
    </xf>
    <xf numFmtId="165" fontId="19" fillId="0" borderId="32" xfId="13" applyNumberFormat="1" applyFont="1" applyBorder="1" applyAlignment="1">
      <alignment horizontal="right" vertical="center" wrapText="1"/>
    </xf>
    <xf numFmtId="165" fontId="19" fillId="0" borderId="33" xfId="13" applyNumberFormat="1" applyFont="1" applyBorder="1" applyAlignment="1">
      <alignment horizontal="right" vertical="center" wrapText="1"/>
    </xf>
    <xf numFmtId="165" fontId="30" fillId="0" borderId="32" xfId="13" applyNumberFormat="1" applyFont="1" applyBorder="1" applyAlignment="1">
      <alignment horizontal="right" vertical="center" wrapText="1"/>
    </xf>
    <xf numFmtId="165" fontId="30" fillId="0" borderId="33" xfId="13" applyNumberFormat="1" applyFont="1" applyBorder="1" applyAlignment="1">
      <alignment horizontal="right" vertical="center" wrapText="1"/>
    </xf>
    <xf numFmtId="165" fontId="17" fillId="0" borderId="32" xfId="13" applyNumberFormat="1" applyFont="1" applyBorder="1" applyAlignment="1">
      <alignment horizontal="right" vertical="center" wrapText="1"/>
    </xf>
    <xf numFmtId="165" fontId="17" fillId="0" borderId="33" xfId="13" applyNumberFormat="1" applyFont="1" applyBorder="1" applyAlignment="1">
      <alignment horizontal="right" vertical="center" wrapText="1"/>
    </xf>
    <xf numFmtId="0" fontId="4" fillId="0" borderId="30" xfId="0" applyFont="1" applyFill="1" applyBorder="1" applyAlignment="1">
      <alignment vertical="center"/>
    </xf>
    <xf numFmtId="3" fontId="9" fillId="2" borderId="30" xfId="4" applyNumberFormat="1" applyFont="1" applyFill="1" applyBorder="1" applyAlignment="1">
      <alignment horizontal="right" vertical="center" wrapText="1"/>
    </xf>
    <xf numFmtId="3" fontId="9" fillId="2" borderId="31" xfId="4" applyNumberFormat="1" applyFont="1" applyFill="1" applyBorder="1" applyAlignment="1">
      <alignment horizontal="right" vertical="center" wrapText="1"/>
    </xf>
    <xf numFmtId="0" fontId="17" fillId="0" borderId="30" xfId="0" applyFont="1" applyBorder="1" applyAlignment="1">
      <alignment horizontal="right" vertical="center"/>
    </xf>
    <xf numFmtId="0" fontId="17" fillId="0" borderId="31" xfId="0" applyFont="1" applyBorder="1" applyAlignment="1">
      <alignment horizontal="right" vertical="center"/>
    </xf>
    <xf numFmtId="165" fontId="30" fillId="4" borderId="32" xfId="0" applyNumberFormat="1" applyFont="1" applyFill="1" applyBorder="1" applyAlignment="1">
      <alignment horizontal="right" vertical="center"/>
    </xf>
    <xf numFmtId="165" fontId="30" fillId="4" borderId="33" xfId="0" applyNumberFormat="1" applyFont="1" applyFill="1" applyBorder="1" applyAlignment="1">
      <alignment horizontal="right" vertical="center"/>
    </xf>
    <xf numFmtId="0" fontId="17" fillId="0" borderId="30" xfId="0" applyFont="1" applyBorder="1" applyAlignment="1">
      <alignment vertical="center"/>
    </xf>
    <xf numFmtId="0" fontId="17" fillId="0" borderId="31" xfId="0" applyFont="1" applyBorder="1" applyAlignment="1">
      <alignment vertical="center"/>
    </xf>
    <xf numFmtId="167" fontId="30" fillId="4" borderId="32" xfId="10" applyNumberFormat="1" applyFont="1" applyFill="1" applyBorder="1" applyAlignment="1">
      <alignment vertical="center"/>
    </xf>
    <xf numFmtId="167" fontId="30" fillId="4" borderId="33" xfId="10" applyNumberFormat="1" applyFont="1" applyFill="1" applyBorder="1" applyAlignment="1">
      <alignment vertical="center"/>
    </xf>
    <xf numFmtId="10" fontId="30" fillId="4" borderId="32" xfId="10" applyNumberFormat="1" applyFont="1" applyFill="1" applyBorder="1" applyAlignment="1">
      <alignment vertical="center"/>
    </xf>
    <xf numFmtId="10" fontId="30" fillId="4" borderId="33" xfId="10" applyNumberFormat="1" applyFont="1" applyFill="1" applyBorder="1" applyAlignment="1">
      <alignment vertical="center"/>
    </xf>
    <xf numFmtId="3" fontId="22" fillId="2" borderId="36" xfId="4" applyNumberFormat="1" applyFont="1" applyFill="1" applyBorder="1" applyAlignment="1">
      <alignment horizontal="right" vertical="center" wrapText="1"/>
    </xf>
    <xf numFmtId="3" fontId="22" fillId="2" borderId="37" xfId="4" applyNumberFormat="1" applyFont="1" applyFill="1" applyBorder="1" applyAlignment="1">
      <alignment horizontal="right" vertical="center" wrapText="1"/>
    </xf>
    <xf numFmtId="0" fontId="34" fillId="0" borderId="30" xfId="0" applyFont="1" applyBorder="1" applyAlignment="1">
      <alignment horizontal="right" vertical="center" wrapText="1"/>
    </xf>
    <xf numFmtId="0" fontId="34" fillId="0" borderId="31" xfId="0" applyFont="1" applyBorder="1" applyAlignment="1">
      <alignment horizontal="right" vertical="center" wrapText="1"/>
    </xf>
    <xf numFmtId="165" fontId="33" fillId="4" borderId="32" xfId="0" applyNumberFormat="1" applyFont="1" applyFill="1" applyBorder="1" applyAlignment="1">
      <alignment horizontal="right" vertical="center" wrapText="1"/>
    </xf>
    <xf numFmtId="165" fontId="33" fillId="4" borderId="33" xfId="0" applyNumberFormat="1" applyFont="1" applyFill="1" applyBorder="1" applyAlignment="1">
      <alignment horizontal="right" vertical="center" wrapText="1"/>
    </xf>
    <xf numFmtId="165" fontId="35" fillId="0" borderId="32" xfId="0" applyNumberFormat="1" applyFont="1" applyBorder="1" applyAlignment="1">
      <alignment horizontal="right" vertical="center" wrapText="1"/>
    </xf>
    <xf numFmtId="165" fontId="35" fillId="0" borderId="33" xfId="0" applyNumberFormat="1" applyFont="1" applyBorder="1" applyAlignment="1">
      <alignment horizontal="right" vertical="center" wrapText="1"/>
    </xf>
    <xf numFmtId="0" fontId="17" fillId="0" borderId="0" xfId="0" applyFont="1" applyBorder="1" applyAlignment="1">
      <alignment horizontal="right" vertical="center"/>
    </xf>
    <xf numFmtId="165" fontId="54" fillId="0" borderId="2" xfId="0" applyNumberFormat="1" applyFont="1" applyFill="1" applyBorder="1" applyAlignment="1">
      <alignment horizontal="right" vertical="center"/>
    </xf>
    <xf numFmtId="165" fontId="54" fillId="0" borderId="1" xfId="0" applyNumberFormat="1" applyFont="1" applyFill="1" applyBorder="1" applyAlignment="1">
      <alignment horizontal="right" vertical="center"/>
    </xf>
    <xf numFmtId="165" fontId="55" fillId="0" borderId="2" xfId="0" applyNumberFormat="1" applyFont="1" applyFill="1" applyBorder="1" applyAlignment="1">
      <alignment horizontal="right" vertical="center"/>
    </xf>
    <xf numFmtId="165" fontId="55" fillId="0" borderId="1" xfId="0" applyNumberFormat="1" applyFont="1" applyFill="1" applyBorder="1" applyAlignment="1">
      <alignment horizontal="right" vertical="center"/>
    </xf>
    <xf numFmtId="3" fontId="14" fillId="0" borderId="0" xfId="0" applyNumberFormat="1" applyFont="1" applyBorder="1" applyAlignment="1">
      <alignment vertical="center"/>
    </xf>
    <xf numFmtId="167" fontId="14" fillId="0" borderId="0" xfId="10" applyNumberFormat="1" applyFont="1" applyBorder="1" applyAlignment="1">
      <alignment vertical="center"/>
    </xf>
    <xf numFmtId="0" fontId="55" fillId="0" borderId="1" xfId="0" applyFont="1" applyFill="1" applyBorder="1" applyAlignment="1">
      <alignment horizontal="left" vertical="center" wrapText="1"/>
    </xf>
    <xf numFmtId="3" fontId="55" fillId="0" borderId="1" xfId="0" applyNumberFormat="1" applyFont="1" applyFill="1" applyBorder="1" applyAlignment="1">
      <alignment vertical="center" wrapText="1"/>
    </xf>
    <xf numFmtId="3" fontId="55" fillId="0" borderId="1" xfId="0" applyNumberFormat="1" applyFont="1" applyFill="1" applyBorder="1" applyAlignment="1">
      <alignment horizontal="right" vertical="center"/>
    </xf>
    <xf numFmtId="3" fontId="55" fillId="0" borderId="2" xfId="0" applyNumberFormat="1" applyFont="1" applyFill="1" applyBorder="1" applyAlignment="1">
      <alignment vertical="center"/>
    </xf>
    <xf numFmtId="3" fontId="55" fillId="0" borderId="1" xfId="0" applyNumberFormat="1" applyFont="1" applyFill="1" applyBorder="1" applyAlignment="1">
      <alignment vertical="center"/>
    </xf>
    <xf numFmtId="3" fontId="55" fillId="0" borderId="3" xfId="0" applyNumberFormat="1" applyFont="1" applyFill="1" applyBorder="1" applyAlignment="1">
      <alignment vertical="center"/>
    </xf>
    <xf numFmtId="0" fontId="55" fillId="0" borderId="5" xfId="0" applyFont="1" applyFill="1" applyBorder="1" applyAlignment="1">
      <alignment vertical="center"/>
    </xf>
    <xf numFmtId="0" fontId="55" fillId="0" borderId="0" xfId="0" applyFont="1" applyFill="1" applyBorder="1" applyAlignment="1">
      <alignment vertical="center"/>
    </xf>
    <xf numFmtId="0" fontId="55" fillId="0" borderId="30" xfId="0" applyFont="1" applyFill="1" applyBorder="1" applyAlignment="1">
      <alignment vertical="center"/>
    </xf>
    <xf numFmtId="0" fontId="55" fillId="0" borderId="31" xfId="0" applyFont="1" applyFill="1" applyBorder="1" applyAlignment="1">
      <alignment vertical="center"/>
    </xf>
    <xf numFmtId="0" fontId="54" fillId="0" borderId="1" xfId="0" applyFont="1" applyFill="1" applyBorder="1" applyAlignment="1">
      <alignment horizontal="left" vertical="center" wrapText="1"/>
    </xf>
    <xf numFmtId="3" fontId="55" fillId="0" borderId="32" xfId="0" applyNumberFormat="1" applyFont="1" applyFill="1" applyBorder="1" applyAlignment="1">
      <alignment vertical="center"/>
    </xf>
    <xf numFmtId="3" fontId="55" fillId="0" borderId="33" xfId="0" applyNumberFormat="1" applyFont="1" applyFill="1" applyBorder="1" applyAlignment="1">
      <alignment vertical="center"/>
    </xf>
    <xf numFmtId="0" fontId="54" fillId="0" borderId="0" xfId="0" applyFont="1" applyFill="1" applyBorder="1" applyAlignment="1">
      <alignment vertical="center"/>
    </xf>
    <xf numFmtId="165" fontId="55" fillId="0" borderId="2" xfId="0" applyNumberFormat="1" applyFont="1" applyFill="1" applyBorder="1" applyAlignment="1">
      <alignment vertical="center"/>
    </xf>
    <xf numFmtId="165" fontId="55" fillId="0" borderId="32" xfId="0" applyNumberFormat="1" applyFont="1" applyFill="1" applyBorder="1" applyAlignment="1">
      <alignment vertical="center"/>
    </xf>
    <xf numFmtId="165" fontId="55" fillId="0" borderId="33" xfId="0" applyNumberFormat="1" applyFont="1" applyFill="1" applyBorder="1" applyAlignment="1">
      <alignment vertical="center"/>
    </xf>
    <xf numFmtId="0" fontId="96" fillId="0" borderId="0" xfId="0" applyFont="1" applyFill="1" applyBorder="1" applyAlignment="1">
      <alignment vertical="center"/>
    </xf>
    <xf numFmtId="0" fontId="55" fillId="0" borderId="4" xfId="0" applyFont="1" applyFill="1" applyBorder="1" applyAlignment="1">
      <alignment horizontal="left" vertical="center" wrapText="1"/>
    </xf>
    <xf numFmtId="165" fontId="55" fillId="0" borderId="7" xfId="0" applyNumberFormat="1" applyFont="1" applyFill="1" applyBorder="1" applyAlignment="1">
      <alignment vertical="center"/>
    </xf>
    <xf numFmtId="165" fontId="55" fillId="0" borderId="4" xfId="0" applyNumberFormat="1" applyFont="1" applyFill="1" applyBorder="1" applyAlignment="1">
      <alignment vertical="center"/>
    </xf>
    <xf numFmtId="165" fontId="55" fillId="0" borderId="8" xfId="0" applyNumberFormat="1" applyFont="1" applyFill="1" applyBorder="1" applyAlignment="1">
      <alignment vertical="center"/>
    </xf>
    <xf numFmtId="165" fontId="55" fillId="0" borderId="34" xfId="0" applyNumberFormat="1" applyFont="1" applyFill="1" applyBorder="1" applyAlignment="1">
      <alignment vertical="center"/>
    </xf>
    <xf numFmtId="165" fontId="55" fillId="0" borderId="35" xfId="0" applyNumberFormat="1" applyFont="1" applyFill="1" applyBorder="1" applyAlignment="1">
      <alignment vertical="center"/>
    </xf>
    <xf numFmtId="165" fontId="54" fillId="0" borderId="2" xfId="0" applyNumberFormat="1" applyFont="1" applyFill="1" applyBorder="1" applyAlignment="1">
      <alignment vertical="center"/>
    </xf>
    <xf numFmtId="165" fontId="54" fillId="0" borderId="1" xfId="0" applyNumberFormat="1" applyFont="1" applyFill="1" applyBorder="1" applyAlignment="1">
      <alignment vertical="center"/>
    </xf>
    <xf numFmtId="165" fontId="54" fillId="0" borderId="3" xfId="0" applyNumberFormat="1" applyFont="1" applyFill="1" applyBorder="1" applyAlignment="1">
      <alignment vertical="center"/>
    </xf>
    <xf numFmtId="165" fontId="54" fillId="0" borderId="32" xfId="0" applyNumberFormat="1" applyFont="1" applyFill="1" applyBorder="1" applyAlignment="1">
      <alignment vertical="center"/>
    </xf>
    <xf numFmtId="165" fontId="54" fillId="0" borderId="33" xfId="0" applyNumberFormat="1" applyFont="1" applyFill="1" applyBorder="1" applyAlignment="1">
      <alignment vertical="center"/>
    </xf>
    <xf numFmtId="3" fontId="54" fillId="0" borderId="2" xfId="0" applyNumberFormat="1" applyFont="1" applyFill="1" applyBorder="1" applyAlignment="1">
      <alignment vertical="center"/>
    </xf>
    <xf numFmtId="3" fontId="54" fillId="0" borderId="1" xfId="0" applyNumberFormat="1" applyFont="1" applyFill="1" applyBorder="1" applyAlignment="1">
      <alignment vertical="center"/>
    </xf>
    <xf numFmtId="3" fontId="54" fillId="0" borderId="3" xfId="0" applyNumberFormat="1" applyFont="1" applyFill="1" applyBorder="1" applyAlignment="1">
      <alignment vertical="center"/>
    </xf>
    <xf numFmtId="3" fontId="54" fillId="0" borderId="32" xfId="0" applyNumberFormat="1" applyFont="1" applyFill="1" applyBorder="1" applyAlignment="1">
      <alignment vertical="center"/>
    </xf>
    <xf numFmtId="3" fontId="54" fillId="0" borderId="33" xfId="0" applyNumberFormat="1" applyFont="1" applyFill="1" applyBorder="1" applyAlignment="1">
      <alignment vertical="center"/>
    </xf>
    <xf numFmtId="0" fontId="55" fillId="0" borderId="9" xfId="0" applyFont="1" applyFill="1" applyBorder="1" applyAlignment="1">
      <alignment horizontal="left" vertical="center" wrapText="1"/>
    </xf>
    <xf numFmtId="165" fontId="55" fillId="0" borderId="10" xfId="0" applyNumberFormat="1" applyFont="1" applyFill="1" applyBorder="1" applyAlignment="1">
      <alignment vertical="center"/>
    </xf>
    <xf numFmtId="165" fontId="55" fillId="0" borderId="9" xfId="0" applyNumberFormat="1" applyFont="1" applyFill="1" applyBorder="1" applyAlignment="1">
      <alignment vertical="center"/>
    </xf>
    <xf numFmtId="165" fontId="55" fillId="0" borderId="11" xfId="0" applyNumberFormat="1" applyFont="1" applyFill="1" applyBorder="1" applyAlignment="1">
      <alignment vertical="center"/>
    </xf>
    <xf numFmtId="165" fontId="55" fillId="0" borderId="36" xfId="0" applyNumberFormat="1" applyFont="1" applyFill="1" applyBorder="1" applyAlignment="1">
      <alignment vertical="center"/>
    </xf>
    <xf numFmtId="165" fontId="55" fillId="0" borderId="37" xfId="0" applyNumberFormat="1" applyFont="1" applyFill="1" applyBorder="1" applyAlignment="1">
      <alignment vertical="center"/>
    </xf>
    <xf numFmtId="0" fontId="96" fillId="0" borderId="1" xfId="0" applyFont="1" applyFill="1" applyBorder="1" applyAlignment="1">
      <alignment horizontal="left" vertical="center" wrapText="1"/>
    </xf>
    <xf numFmtId="165" fontId="96" fillId="0" borderId="2" xfId="0" applyNumberFormat="1" applyFont="1" applyFill="1" applyBorder="1" applyAlignment="1">
      <alignment vertical="center"/>
    </xf>
    <xf numFmtId="165" fontId="96" fillId="0" borderId="1" xfId="0" applyNumberFormat="1" applyFont="1" applyFill="1" applyBorder="1" applyAlignment="1">
      <alignment vertical="center"/>
    </xf>
    <xf numFmtId="165" fontId="96" fillId="0" borderId="3" xfId="0" applyNumberFormat="1" applyFont="1" applyFill="1" applyBorder="1" applyAlignment="1">
      <alignment vertical="center"/>
    </xf>
    <xf numFmtId="165" fontId="96" fillId="0" borderId="32" xfId="0" applyNumberFormat="1" applyFont="1" applyFill="1" applyBorder="1" applyAlignment="1">
      <alignment vertical="center"/>
    </xf>
    <xf numFmtId="165" fontId="96" fillId="0" borderId="33" xfId="0" applyNumberFormat="1" applyFont="1" applyFill="1" applyBorder="1" applyAlignment="1">
      <alignment vertical="center"/>
    </xf>
    <xf numFmtId="10" fontId="55" fillId="0" borderId="2" xfId="10" applyNumberFormat="1" applyFont="1" applyFill="1" applyBorder="1" applyAlignment="1">
      <alignment vertical="center"/>
    </xf>
    <xf numFmtId="10" fontId="55" fillId="0" borderId="1" xfId="10" applyNumberFormat="1" applyFont="1" applyFill="1" applyBorder="1" applyAlignment="1">
      <alignment vertical="center"/>
    </xf>
    <xf numFmtId="10" fontId="55" fillId="0" borderId="3" xfId="10" applyNumberFormat="1" applyFont="1" applyFill="1" applyBorder="1" applyAlignment="1">
      <alignment vertical="center"/>
    </xf>
    <xf numFmtId="0" fontId="54" fillId="0" borderId="5" xfId="0" applyFont="1" applyFill="1" applyBorder="1" applyAlignment="1">
      <alignment vertical="center"/>
    </xf>
    <xf numFmtId="0" fontId="54" fillId="0" borderId="30" xfId="0" applyFont="1" applyFill="1" applyBorder="1" applyAlignment="1">
      <alignment vertical="center"/>
    </xf>
    <xf numFmtId="0" fontId="54" fillId="0" borderId="31" xfId="0" applyFont="1" applyFill="1" applyBorder="1" applyAlignment="1">
      <alignment vertical="center"/>
    </xf>
    <xf numFmtId="10" fontId="55" fillId="0" borderId="2" xfId="10" applyNumberFormat="1" applyFont="1" applyFill="1" applyBorder="1" applyAlignment="1">
      <alignment horizontal="right" vertical="center"/>
    </xf>
    <xf numFmtId="10" fontId="55" fillId="0" borderId="3" xfId="10" applyNumberFormat="1" applyFont="1" applyFill="1" applyBorder="1" applyAlignment="1">
      <alignment horizontal="right" vertical="center"/>
    </xf>
    <xf numFmtId="10" fontId="55" fillId="0" borderId="32" xfId="10" applyNumberFormat="1" applyFont="1" applyFill="1" applyBorder="1" applyAlignment="1">
      <alignment vertical="center"/>
    </xf>
    <xf numFmtId="10" fontId="55" fillId="0" borderId="33" xfId="10" applyNumberFormat="1" applyFont="1" applyFill="1" applyBorder="1" applyAlignment="1">
      <alignment vertical="center"/>
    </xf>
    <xf numFmtId="10" fontId="96" fillId="0" borderId="2" xfId="10" applyNumberFormat="1" applyFont="1" applyFill="1" applyBorder="1" applyAlignment="1">
      <alignment horizontal="right" vertical="center"/>
    </xf>
    <xf numFmtId="10" fontId="96" fillId="0" borderId="1" xfId="10" applyNumberFormat="1" applyFont="1" applyFill="1" applyBorder="1" applyAlignment="1">
      <alignment horizontal="right" vertical="center"/>
    </xf>
    <xf numFmtId="10" fontId="96" fillId="0" borderId="3" xfId="10" applyNumberFormat="1" applyFont="1" applyFill="1" applyBorder="1" applyAlignment="1">
      <alignment horizontal="right" vertical="center"/>
    </xf>
    <xf numFmtId="10" fontId="96" fillId="0" borderId="1" xfId="10" applyNumberFormat="1" applyFont="1" applyFill="1" applyBorder="1" applyAlignment="1">
      <alignment vertical="center"/>
    </xf>
    <xf numFmtId="10" fontId="96" fillId="0" borderId="3" xfId="10" applyNumberFormat="1" applyFont="1" applyFill="1" applyBorder="1" applyAlignment="1">
      <alignment vertical="center"/>
    </xf>
    <xf numFmtId="0" fontId="97" fillId="0" borderId="5" xfId="0" applyFont="1" applyFill="1" applyBorder="1" applyAlignment="1">
      <alignment vertical="center"/>
    </xf>
    <xf numFmtId="0" fontId="97" fillId="0" borderId="0" xfId="0" applyFont="1" applyFill="1" applyBorder="1" applyAlignment="1">
      <alignment vertical="center"/>
    </xf>
    <xf numFmtId="0" fontId="97" fillId="0" borderId="30" xfId="0" applyFont="1" applyFill="1" applyBorder="1" applyAlignment="1">
      <alignment vertical="center"/>
    </xf>
    <xf numFmtId="0" fontId="97" fillId="0" borderId="31" xfId="0" applyFont="1" applyFill="1" applyBorder="1" applyAlignment="1">
      <alignment vertical="center"/>
    </xf>
    <xf numFmtId="9" fontId="55" fillId="0" borderId="1" xfId="10" applyNumberFormat="1" applyFont="1" applyFill="1" applyBorder="1" applyAlignment="1">
      <alignment vertical="center"/>
    </xf>
    <xf numFmtId="9" fontId="55" fillId="0" borderId="3" xfId="10" applyNumberFormat="1" applyFont="1" applyFill="1" applyBorder="1" applyAlignment="1">
      <alignment vertical="center"/>
    </xf>
    <xf numFmtId="9" fontId="55" fillId="0" borderId="32" xfId="10" applyNumberFormat="1" applyFont="1" applyFill="1" applyBorder="1" applyAlignment="1">
      <alignment vertical="center"/>
    </xf>
    <xf numFmtId="9" fontId="55" fillId="0" borderId="33" xfId="10" applyNumberFormat="1" applyFont="1" applyFill="1" applyBorder="1" applyAlignment="1">
      <alignment vertical="center"/>
    </xf>
    <xf numFmtId="167" fontId="55" fillId="0" borderId="1" xfId="10" applyNumberFormat="1" applyFont="1" applyFill="1" applyBorder="1" applyAlignment="1">
      <alignment vertical="center"/>
    </xf>
    <xf numFmtId="167" fontId="55" fillId="0" borderId="32" xfId="10" applyNumberFormat="1" applyFont="1" applyFill="1" applyBorder="1" applyAlignment="1">
      <alignment vertical="center"/>
    </xf>
    <xf numFmtId="166" fontId="55" fillId="0" borderId="2" xfId="10" applyNumberFormat="1" applyFont="1" applyFill="1" applyBorder="1" applyAlignment="1">
      <alignment vertical="center"/>
    </xf>
    <xf numFmtId="166" fontId="55" fillId="0" borderId="1" xfId="10" applyNumberFormat="1" applyFont="1" applyFill="1" applyBorder="1" applyAlignment="1">
      <alignment vertical="center"/>
    </xf>
    <xf numFmtId="166" fontId="55" fillId="0" borderId="3" xfId="10" applyNumberFormat="1" applyFont="1" applyFill="1" applyBorder="1" applyAlignment="1">
      <alignment vertical="center"/>
    </xf>
    <xf numFmtId="2" fontId="55" fillId="0" borderId="1" xfId="10" applyNumberFormat="1" applyFont="1" applyFill="1" applyBorder="1" applyAlignment="1">
      <alignment vertical="center"/>
    </xf>
    <xf numFmtId="2" fontId="55" fillId="0" borderId="3" xfId="10" applyNumberFormat="1" applyFont="1" applyFill="1" applyBorder="1" applyAlignment="1">
      <alignment vertical="center"/>
    </xf>
    <xf numFmtId="2" fontId="55" fillId="0" borderId="2" xfId="10" applyNumberFormat="1" applyFont="1" applyFill="1" applyBorder="1" applyAlignment="1">
      <alignment vertical="center"/>
    </xf>
    <xf numFmtId="2" fontId="55" fillId="0" borderId="1" xfId="0" applyNumberFormat="1" applyFont="1" applyFill="1" applyBorder="1" applyAlignment="1">
      <alignment vertical="center"/>
    </xf>
    <xf numFmtId="2" fontId="55" fillId="0" borderId="3" xfId="0" applyNumberFormat="1" applyFont="1" applyFill="1" applyBorder="1" applyAlignment="1">
      <alignment vertical="center"/>
    </xf>
    <xf numFmtId="2" fontId="55" fillId="0" borderId="2" xfId="0" applyNumberFormat="1" applyFont="1" applyFill="1" applyBorder="1" applyAlignment="1">
      <alignment vertical="center"/>
    </xf>
    <xf numFmtId="2" fontId="55" fillId="0" borderId="32" xfId="10" applyNumberFormat="1" applyFont="1" applyFill="1" applyBorder="1" applyAlignment="1">
      <alignment vertical="center"/>
    </xf>
    <xf numFmtId="2" fontId="55" fillId="0" borderId="33" xfId="0" applyNumberFormat="1" applyFont="1" applyFill="1" applyBorder="1" applyAlignment="1">
      <alignment vertical="center"/>
    </xf>
    <xf numFmtId="166" fontId="55" fillId="0" borderId="32" xfId="10" applyNumberFormat="1" applyFont="1" applyFill="1" applyBorder="1" applyAlignment="1">
      <alignment vertical="center"/>
    </xf>
    <xf numFmtId="166" fontId="55" fillId="0" borderId="33" xfId="10" applyNumberFormat="1" applyFont="1" applyFill="1" applyBorder="1" applyAlignment="1">
      <alignment vertical="center"/>
    </xf>
    <xf numFmtId="4" fontId="55" fillId="0" borderId="2" xfId="0" applyNumberFormat="1" applyFont="1" applyFill="1" applyBorder="1" applyAlignment="1">
      <alignment horizontal="right" vertical="center"/>
    </xf>
    <xf numFmtId="4" fontId="55" fillId="0" borderId="1" xfId="0" applyNumberFormat="1" applyFont="1" applyFill="1" applyBorder="1" applyAlignment="1">
      <alignment horizontal="right" vertical="center"/>
    </xf>
    <xf numFmtId="4" fontId="55" fillId="0" borderId="3" xfId="0" applyNumberFormat="1" applyFont="1" applyFill="1" applyBorder="1" applyAlignment="1">
      <alignment horizontal="right" vertical="center"/>
    </xf>
    <xf numFmtId="4" fontId="55" fillId="0" borderId="1" xfId="0" applyNumberFormat="1" applyFont="1" applyFill="1" applyBorder="1" applyAlignment="1">
      <alignment vertical="center"/>
    </xf>
    <xf numFmtId="4" fontId="55" fillId="0" borderId="3" xfId="0" applyNumberFormat="1" applyFont="1" applyFill="1" applyBorder="1" applyAlignment="1">
      <alignment vertical="center"/>
    </xf>
    <xf numFmtId="4" fontId="55" fillId="0" borderId="2" xfId="0" applyNumberFormat="1" applyFont="1" applyFill="1" applyBorder="1" applyAlignment="1">
      <alignment vertical="center"/>
    </xf>
    <xf numFmtId="0" fontId="55" fillId="0" borderId="0" xfId="0" applyFont="1" applyFill="1" applyAlignment="1">
      <alignment vertical="center" wrapText="1"/>
    </xf>
    <xf numFmtId="4" fontId="55" fillId="0" borderId="32" xfId="0" applyNumberFormat="1" applyFont="1" applyFill="1" applyBorder="1" applyAlignment="1">
      <alignment vertical="center"/>
    </xf>
    <xf numFmtId="4" fontId="55" fillId="0" borderId="33" xfId="0" applyNumberFormat="1" applyFont="1" applyFill="1" applyBorder="1" applyAlignment="1">
      <alignment vertical="center"/>
    </xf>
    <xf numFmtId="165" fontId="55" fillId="0" borderId="3" xfId="0" applyNumberFormat="1" applyFont="1" applyFill="1" applyBorder="1" applyAlignment="1">
      <alignment horizontal="right" vertical="center"/>
    </xf>
    <xf numFmtId="165" fontId="55" fillId="3" borderId="2" xfId="0" applyNumberFormat="1" applyFont="1" applyFill="1" applyBorder="1" applyAlignment="1">
      <alignment horizontal="right" vertical="center"/>
    </xf>
    <xf numFmtId="0" fontId="98" fillId="0" borderId="0" xfId="0" applyFont="1" applyFill="1" applyBorder="1" applyAlignment="1">
      <alignment vertical="center"/>
    </xf>
    <xf numFmtId="165" fontId="55" fillId="0" borderId="3" xfId="0" quotePrefix="1" applyNumberFormat="1" applyFont="1" applyFill="1" applyBorder="1" applyAlignment="1">
      <alignment horizontal="right" vertical="center"/>
    </xf>
    <xf numFmtId="0" fontId="55" fillId="0" borderId="1" xfId="0" applyFont="1" applyFill="1" applyBorder="1" applyAlignment="1">
      <alignment vertical="center" wrapText="1"/>
    </xf>
    <xf numFmtId="0" fontId="54" fillId="0" borderId="1" xfId="0" applyFont="1" applyFill="1" applyBorder="1" applyAlignment="1">
      <alignment vertical="center" wrapText="1"/>
    </xf>
    <xf numFmtId="165" fontId="54" fillId="0" borderId="3" xfId="0" applyNumberFormat="1" applyFont="1" applyFill="1" applyBorder="1" applyAlignment="1">
      <alignment horizontal="right" vertical="center"/>
    </xf>
    <xf numFmtId="0" fontId="99" fillId="0" borderId="0" xfId="0" applyFont="1" applyFill="1" applyBorder="1" applyAlignment="1">
      <alignment vertical="center"/>
    </xf>
    <xf numFmtId="0" fontId="100" fillId="0" borderId="0" xfId="0" applyFont="1" applyFill="1" applyBorder="1" applyAlignment="1">
      <alignment vertical="center"/>
    </xf>
    <xf numFmtId="3" fontId="55" fillId="0" borderId="1" xfId="0" quotePrefix="1" applyNumberFormat="1" applyFont="1" applyFill="1" applyBorder="1" applyAlignment="1">
      <alignment vertical="center" wrapText="1"/>
    </xf>
    <xf numFmtId="165" fontId="55" fillId="3" borderId="1" xfId="0" applyNumberFormat="1" applyFont="1" applyFill="1" applyBorder="1" applyAlignment="1">
      <alignment horizontal="right" vertical="center"/>
    </xf>
    <xf numFmtId="165" fontId="55" fillId="0" borderId="1" xfId="0" quotePrefix="1" applyNumberFormat="1" applyFont="1" applyFill="1" applyBorder="1" applyAlignment="1">
      <alignment horizontal="right" vertical="center"/>
    </xf>
    <xf numFmtId="0" fontId="55" fillId="0" borderId="1" xfId="0" quotePrefix="1" applyFont="1" applyFill="1" applyBorder="1" applyAlignment="1">
      <alignment vertical="center" wrapText="1"/>
    </xf>
    <xf numFmtId="165" fontId="55" fillId="3" borderId="3" xfId="0" applyNumberFormat="1" applyFont="1" applyFill="1" applyBorder="1" applyAlignment="1">
      <alignment horizontal="right" vertical="center"/>
    </xf>
    <xf numFmtId="0" fontId="55" fillId="0" borderId="0" xfId="0" applyFont="1" applyFill="1" applyBorder="1" applyAlignment="1">
      <alignment vertical="center" wrapText="1"/>
    </xf>
    <xf numFmtId="0" fontId="54" fillId="0" borderId="4" xfId="0" applyFont="1" applyFill="1" applyBorder="1" applyAlignment="1">
      <alignment vertical="center" wrapText="1"/>
    </xf>
    <xf numFmtId="0" fontId="100" fillId="0" borderId="0" xfId="0" applyFont="1" applyBorder="1" applyAlignment="1">
      <alignment vertical="center"/>
    </xf>
    <xf numFmtId="0" fontId="100" fillId="0" borderId="0" xfId="0" applyFont="1" applyBorder="1" applyAlignment="1">
      <alignment vertical="center" wrapText="1"/>
    </xf>
    <xf numFmtId="165" fontId="100" fillId="0" borderId="0" xfId="0" applyNumberFormat="1" applyFont="1" applyBorder="1" applyAlignment="1">
      <alignment horizontal="right" vertical="center"/>
    </xf>
    <xf numFmtId="165" fontId="98" fillId="0" borderId="0" xfId="0" applyNumberFormat="1" applyFont="1" applyFill="1" applyBorder="1" applyAlignment="1">
      <alignment horizontal="right" vertical="center"/>
    </xf>
    <xf numFmtId="0" fontId="101" fillId="0" borderId="0" xfId="0" applyFont="1"/>
    <xf numFmtId="3" fontId="54" fillId="0" borderId="1" xfId="0" applyNumberFormat="1" applyFont="1" applyFill="1" applyBorder="1" applyAlignment="1">
      <alignment vertical="center" wrapText="1"/>
    </xf>
    <xf numFmtId="165" fontId="55" fillId="0" borderId="7" xfId="0" applyNumberFormat="1" applyFont="1" applyFill="1" applyBorder="1" applyAlignment="1">
      <alignment horizontal="right" vertical="center"/>
    </xf>
    <xf numFmtId="165" fontId="55" fillId="0" borderId="4" xfId="0" applyNumberFormat="1" applyFont="1" applyFill="1" applyBorder="1" applyAlignment="1">
      <alignment horizontal="right" vertical="center"/>
    </xf>
    <xf numFmtId="165" fontId="55" fillId="0" borderId="7" xfId="0" quotePrefix="1" applyNumberFormat="1" applyFont="1" applyFill="1" applyBorder="1" applyAlignment="1">
      <alignment horizontal="right" vertical="center"/>
    </xf>
    <xf numFmtId="165" fontId="55" fillId="0" borderId="4" xfId="0" quotePrefix="1" applyNumberFormat="1" applyFont="1" applyFill="1" applyBorder="1" applyAlignment="1">
      <alignment horizontal="right" vertical="center"/>
    </xf>
    <xf numFmtId="0" fontId="54" fillId="0" borderId="1" xfId="0" applyFont="1" applyFill="1" applyBorder="1" applyAlignment="1">
      <alignment vertical="center"/>
    </xf>
    <xf numFmtId="0" fontId="55" fillId="0" borderId="1" xfId="0" applyFont="1" applyFill="1" applyBorder="1" applyAlignment="1">
      <alignment horizontal="left" vertical="center"/>
    </xf>
    <xf numFmtId="0" fontId="55" fillId="0" borderId="1" xfId="0" applyFont="1" applyFill="1" applyBorder="1" applyAlignment="1">
      <alignment vertical="center"/>
    </xf>
    <xf numFmtId="0" fontId="55" fillId="0" borderId="1" xfId="0" applyFont="1" applyFill="1" applyBorder="1" applyAlignment="1">
      <alignment horizontal="left" vertical="center" indent="2"/>
    </xf>
    <xf numFmtId="0" fontId="55" fillId="0" borderId="0" xfId="0" applyFont="1" applyBorder="1" applyAlignment="1">
      <alignment vertical="center"/>
    </xf>
    <xf numFmtId="0" fontId="55" fillId="0" borderId="1" xfId="0" applyFont="1" applyBorder="1" applyAlignment="1">
      <alignment vertical="center"/>
    </xf>
    <xf numFmtId="0" fontId="54" fillId="0" borderId="1" xfId="0" applyFont="1" applyBorder="1" applyAlignment="1">
      <alignment vertical="center" wrapText="1"/>
    </xf>
    <xf numFmtId="0" fontId="54" fillId="0" borderId="0" xfId="0" applyFont="1" applyBorder="1" applyAlignment="1">
      <alignment vertical="center"/>
    </xf>
    <xf numFmtId="0" fontId="55" fillId="0" borderId="1" xfId="0" quotePrefix="1" applyFont="1" applyFill="1" applyBorder="1" applyAlignment="1">
      <alignment horizontal="left" vertical="center" wrapText="1" indent="1"/>
    </xf>
    <xf numFmtId="0" fontId="55" fillId="0" borderId="1" xfId="0" applyFont="1" applyFill="1" applyBorder="1" applyAlignment="1">
      <alignment horizontal="left" vertical="center" wrapText="1" indent="1"/>
    </xf>
    <xf numFmtId="165" fontId="55" fillId="0" borderId="32" xfId="0" applyNumberFormat="1" applyFont="1" applyFill="1" applyBorder="1" applyAlignment="1">
      <alignment horizontal="right" vertical="center"/>
    </xf>
    <xf numFmtId="165" fontId="55" fillId="0" borderId="33" xfId="0" applyNumberFormat="1" applyFont="1" applyFill="1" applyBorder="1" applyAlignment="1">
      <alignment horizontal="right" vertical="center"/>
    </xf>
    <xf numFmtId="165" fontId="54" fillId="0" borderId="32" xfId="0" applyNumberFormat="1" applyFont="1" applyFill="1" applyBorder="1" applyAlignment="1">
      <alignment horizontal="right" vertical="center"/>
    </xf>
    <xf numFmtId="165" fontId="54" fillId="0" borderId="33" xfId="0" applyNumberFormat="1" applyFont="1" applyFill="1" applyBorder="1" applyAlignment="1">
      <alignment horizontal="right" vertical="center"/>
    </xf>
    <xf numFmtId="10" fontId="55" fillId="0" borderId="33" xfId="10" applyNumberFormat="1" applyFont="1" applyFill="1" applyBorder="1" applyAlignment="1">
      <alignment horizontal="right" vertical="center"/>
    </xf>
    <xf numFmtId="10" fontId="54" fillId="0" borderId="2" xfId="10" applyNumberFormat="1" applyFont="1" applyFill="1" applyBorder="1" applyAlignment="1">
      <alignment horizontal="right" vertical="center"/>
    </xf>
    <xf numFmtId="10" fontId="54" fillId="0" borderId="33" xfId="10" applyNumberFormat="1" applyFont="1" applyFill="1" applyBorder="1" applyAlignment="1">
      <alignment horizontal="right" vertical="center"/>
    </xf>
    <xf numFmtId="3" fontId="96" fillId="0" borderId="1" xfId="0" applyNumberFormat="1" applyFont="1" applyFill="1" applyBorder="1" applyAlignment="1">
      <alignment vertical="center"/>
    </xf>
    <xf numFmtId="3" fontId="96" fillId="0" borderId="3" xfId="0" applyNumberFormat="1" applyFont="1" applyFill="1" applyBorder="1" applyAlignment="1">
      <alignment vertical="center"/>
    </xf>
    <xf numFmtId="3" fontId="55" fillId="0" borderId="2" xfId="0" applyNumberFormat="1" applyFont="1" applyFill="1" applyBorder="1" applyAlignment="1">
      <alignment horizontal="right" vertical="center"/>
    </xf>
    <xf numFmtId="0" fontId="55" fillId="0" borderId="1" xfId="0" applyFont="1" applyBorder="1" applyAlignment="1">
      <alignment vertical="center" wrapText="1"/>
    </xf>
    <xf numFmtId="165" fontId="55" fillId="0" borderId="2" xfId="13" applyNumberFormat="1" applyFont="1" applyFill="1" applyBorder="1" applyAlignment="1">
      <alignment horizontal="right" vertical="center" wrapText="1"/>
    </xf>
    <xf numFmtId="165" fontId="55" fillId="0" borderId="1" xfId="13" applyNumberFormat="1" applyFont="1" applyFill="1" applyBorder="1" applyAlignment="1">
      <alignment horizontal="right" vertical="center" wrapText="1"/>
    </xf>
    <xf numFmtId="165" fontId="55" fillId="0" borderId="32" xfId="13" applyNumberFormat="1" applyFont="1" applyFill="1" applyBorder="1" applyAlignment="1">
      <alignment horizontal="right" vertical="center" wrapText="1"/>
    </xf>
    <xf numFmtId="165" fontId="55" fillId="0" borderId="33" xfId="13" applyNumberFormat="1" applyFont="1" applyFill="1" applyBorder="1" applyAlignment="1">
      <alignment horizontal="right" vertical="center" wrapText="1"/>
    </xf>
    <xf numFmtId="165" fontId="55" fillId="0" borderId="12" xfId="13" applyNumberFormat="1" applyFont="1" applyBorder="1" applyAlignment="1">
      <alignment horizontal="right" vertical="center" wrapText="1"/>
    </xf>
    <xf numFmtId="165" fontId="55" fillId="0" borderId="1" xfId="13" applyNumberFormat="1" applyFont="1" applyBorder="1" applyAlignment="1">
      <alignment horizontal="right" vertical="center" wrapText="1"/>
    </xf>
    <xf numFmtId="165" fontId="55" fillId="0" borderId="2" xfId="13" applyNumberFormat="1" applyFont="1" applyBorder="1" applyAlignment="1">
      <alignment horizontal="right" vertical="center" wrapText="1"/>
    </xf>
    <xf numFmtId="165" fontId="55" fillId="0" borderId="32" xfId="13" applyNumberFormat="1" applyFont="1" applyBorder="1" applyAlignment="1">
      <alignment horizontal="right" vertical="center" wrapText="1"/>
    </xf>
    <xf numFmtId="165" fontId="55" fillId="0" borderId="33" xfId="13" applyNumberFormat="1" applyFont="1" applyBorder="1" applyAlignment="1">
      <alignment horizontal="right" vertical="center" wrapText="1"/>
    </xf>
    <xf numFmtId="165" fontId="54" fillId="0" borderId="12" xfId="13" applyNumberFormat="1" applyFont="1" applyBorder="1" applyAlignment="1">
      <alignment horizontal="right" vertical="center" wrapText="1"/>
    </xf>
    <xf numFmtId="165" fontId="54" fillId="0" borderId="1" xfId="13" applyNumberFormat="1" applyFont="1" applyBorder="1" applyAlignment="1">
      <alignment horizontal="right" vertical="center" wrapText="1"/>
    </xf>
    <xf numFmtId="165" fontId="54" fillId="0" borderId="2" xfId="13" applyNumberFormat="1" applyFont="1" applyBorder="1" applyAlignment="1">
      <alignment horizontal="right" vertical="center" wrapText="1"/>
    </xf>
    <xf numFmtId="165" fontId="54" fillId="0" borderId="32" xfId="13" applyNumberFormat="1" applyFont="1" applyBorder="1" applyAlignment="1">
      <alignment horizontal="right" vertical="center" wrapText="1"/>
    </xf>
    <xf numFmtId="165" fontId="54" fillId="0" borderId="33" xfId="13" applyNumberFormat="1" applyFont="1" applyBorder="1" applyAlignment="1">
      <alignment horizontal="right" vertical="center" wrapText="1"/>
    </xf>
    <xf numFmtId="0" fontId="55" fillId="0" borderId="1" xfId="13" applyFont="1" applyBorder="1" applyAlignment="1">
      <alignment horizontal="left" vertical="center" wrapText="1" indent="1"/>
    </xf>
    <xf numFmtId="0" fontId="55" fillId="0" borderId="18" xfId="13" applyFont="1" applyBorder="1" applyAlignment="1">
      <alignment horizontal="left" vertical="center" wrapText="1" indent="1"/>
    </xf>
    <xf numFmtId="0" fontId="55" fillId="0" borderId="17" xfId="13" applyFont="1" applyBorder="1" applyAlignment="1">
      <alignment horizontal="left" vertical="center" wrapText="1" indent="1"/>
    </xf>
    <xf numFmtId="0" fontId="55" fillId="0" borderId="0" xfId="13" applyFont="1" applyBorder="1"/>
    <xf numFmtId="0" fontId="54" fillId="0" borderId="1" xfId="13" applyFont="1" applyBorder="1" applyAlignment="1">
      <alignment horizontal="left" vertical="center" wrapText="1" indent="1"/>
    </xf>
    <xf numFmtId="0" fontId="54" fillId="0" borderId="18" xfId="13" applyFont="1" applyBorder="1" applyAlignment="1">
      <alignment horizontal="left" vertical="center" wrapText="1" indent="1"/>
    </xf>
    <xf numFmtId="0" fontId="54" fillId="0" borderId="17" xfId="13" applyFont="1" applyBorder="1" applyAlignment="1">
      <alignment horizontal="left" vertical="center" wrapText="1" indent="1"/>
    </xf>
    <xf numFmtId="0" fontId="55" fillId="0" borderId="1" xfId="13" applyFont="1" applyBorder="1" applyAlignment="1">
      <alignment horizontal="left" vertical="center" wrapText="1" indent="3"/>
    </xf>
    <xf numFmtId="0" fontId="55" fillId="0" borderId="18" xfId="13" applyFont="1" applyBorder="1" applyAlignment="1">
      <alignment horizontal="left" vertical="center" wrapText="1" indent="3"/>
    </xf>
    <xf numFmtId="0" fontId="55" fillId="0" borderId="17" xfId="13" applyFont="1" applyBorder="1" applyAlignment="1">
      <alignment horizontal="left" vertical="center" wrapText="1" indent="3"/>
    </xf>
    <xf numFmtId="0" fontId="96" fillId="0" borderId="1" xfId="0" applyFont="1" applyFill="1" applyBorder="1" applyAlignment="1">
      <alignment horizontal="left" vertical="center" wrapText="1" indent="2"/>
    </xf>
    <xf numFmtId="165" fontId="96" fillId="0" borderId="1" xfId="0" applyNumberFormat="1" applyFont="1" applyFill="1" applyBorder="1" applyAlignment="1">
      <alignment horizontal="right" vertical="center"/>
    </xf>
    <xf numFmtId="165" fontId="96" fillId="0" borderId="3" xfId="0" applyNumberFormat="1" applyFont="1" applyFill="1" applyBorder="1" applyAlignment="1">
      <alignment horizontal="right" vertical="center"/>
    </xf>
    <xf numFmtId="165" fontId="96" fillId="0" borderId="2" xfId="0" applyNumberFormat="1" applyFont="1" applyFill="1" applyBorder="1" applyAlignment="1">
      <alignment horizontal="right" vertical="center"/>
    </xf>
    <xf numFmtId="3" fontId="96" fillId="0" borderId="1" xfId="0" applyNumberFormat="1" applyFont="1" applyFill="1" applyBorder="1" applyAlignment="1">
      <alignment horizontal="left" vertical="center" wrapText="1" indent="2"/>
    </xf>
    <xf numFmtId="0" fontId="55" fillId="0" borderId="1" xfId="0" applyFont="1" applyBorder="1" applyAlignment="1">
      <alignment horizontal="left" vertical="center" wrapText="1" indent="1"/>
    </xf>
    <xf numFmtId="165" fontId="55" fillId="0" borderId="12" xfId="0" applyNumberFormat="1" applyFont="1" applyBorder="1" applyAlignment="1">
      <alignment horizontal="right" vertical="center" wrapText="1"/>
    </xf>
    <xf numFmtId="165" fontId="55" fillId="0" borderId="1" xfId="0" applyNumberFormat="1" applyFont="1" applyBorder="1" applyAlignment="1">
      <alignment horizontal="right" vertical="center" wrapText="1"/>
    </xf>
    <xf numFmtId="165" fontId="55" fillId="0" borderId="2" xfId="0" applyNumberFormat="1" applyFont="1" applyBorder="1" applyAlignment="1">
      <alignment horizontal="right" vertical="center" wrapText="1"/>
    </xf>
    <xf numFmtId="165" fontId="55" fillId="0" borderId="32" xfId="0" applyNumberFormat="1" applyFont="1" applyBorder="1" applyAlignment="1">
      <alignment horizontal="right" vertical="center" wrapText="1"/>
    </xf>
    <xf numFmtId="165" fontId="55" fillId="0" borderId="33" xfId="0" applyNumberFormat="1" applyFont="1" applyBorder="1" applyAlignment="1">
      <alignment horizontal="right" vertical="center" wrapText="1"/>
    </xf>
    <xf numFmtId="0" fontId="55" fillId="0" borderId="0" xfId="0" applyFont="1"/>
    <xf numFmtId="165" fontId="54" fillId="0" borderId="12" xfId="0" applyNumberFormat="1" applyFont="1" applyBorder="1" applyAlignment="1">
      <alignment horizontal="right" vertical="center" wrapText="1"/>
    </xf>
    <xf numFmtId="165" fontId="54" fillId="0" borderId="1" xfId="0" applyNumberFormat="1" applyFont="1" applyBorder="1" applyAlignment="1">
      <alignment horizontal="right" vertical="center" wrapText="1"/>
    </xf>
    <xf numFmtId="165" fontId="54" fillId="0" borderId="2" xfId="0" applyNumberFormat="1" applyFont="1" applyBorder="1" applyAlignment="1">
      <alignment horizontal="right" vertical="center" wrapText="1"/>
    </xf>
    <xf numFmtId="165" fontId="54" fillId="0" borderId="32" xfId="0" applyNumberFormat="1" applyFont="1" applyBorder="1" applyAlignment="1">
      <alignment horizontal="right" vertical="center" wrapText="1"/>
    </xf>
    <xf numFmtId="165" fontId="54" fillId="0" borderId="33" xfId="0" applyNumberFormat="1" applyFont="1" applyBorder="1" applyAlignment="1">
      <alignment horizontal="right" vertical="center" wrapText="1"/>
    </xf>
    <xf numFmtId="0" fontId="54" fillId="0" borderId="1" xfId="0" applyFont="1" applyBorder="1" applyAlignment="1">
      <alignment horizontal="left" vertical="center" wrapText="1" indent="1"/>
    </xf>
    <xf numFmtId="0" fontId="55" fillId="0" borderId="1" xfId="0" applyFont="1" applyBorder="1" applyAlignment="1">
      <alignment horizontal="left" vertical="center" wrapText="1" indent="3"/>
    </xf>
    <xf numFmtId="0" fontId="55" fillId="3" borderId="1" xfId="0" applyFont="1" applyFill="1" applyBorder="1" applyAlignment="1">
      <alignment vertical="center"/>
    </xf>
    <xf numFmtId="0" fontId="96" fillId="0" borderId="1" xfId="0" applyFont="1" applyFill="1" applyBorder="1" applyAlignment="1">
      <alignment vertical="center"/>
    </xf>
    <xf numFmtId="0" fontId="55" fillId="0" borderId="0" xfId="0" applyFont="1" applyFill="1"/>
    <xf numFmtId="0" fontId="54" fillId="0" borderId="1" xfId="0" applyFont="1" applyFill="1" applyBorder="1" applyAlignment="1"/>
    <xf numFmtId="0" fontId="54" fillId="0" borderId="1" xfId="0" applyFont="1" applyFill="1" applyBorder="1"/>
    <xf numFmtId="0" fontId="96" fillId="3" borderId="1" xfId="0" applyFont="1" applyFill="1" applyBorder="1" applyAlignment="1">
      <alignment vertical="center"/>
    </xf>
    <xf numFmtId="165" fontId="96" fillId="0" borderId="2" xfId="0" quotePrefix="1" applyNumberFormat="1" applyFont="1" applyFill="1" applyBorder="1" applyAlignment="1">
      <alignment horizontal="right" vertical="center"/>
    </xf>
    <xf numFmtId="165" fontId="96" fillId="0" borderId="1" xfId="0" quotePrefix="1" applyNumberFormat="1" applyFont="1" applyFill="1" applyBorder="1" applyAlignment="1">
      <alignment horizontal="right" vertical="center"/>
    </xf>
    <xf numFmtId="0" fontId="96" fillId="0" borderId="1" xfId="0" applyFont="1" applyFill="1" applyBorder="1" applyAlignment="1">
      <alignment vertical="center" wrapText="1"/>
    </xf>
    <xf numFmtId="0" fontId="96" fillId="0" borderId="1" xfId="0" quotePrefix="1" applyFont="1" applyFill="1" applyBorder="1" applyAlignment="1">
      <alignment vertical="center" wrapText="1"/>
    </xf>
    <xf numFmtId="0" fontId="54" fillId="0" borderId="1" xfId="4" applyFont="1" applyFill="1" applyBorder="1"/>
    <xf numFmtId="0" fontId="96" fillId="0" borderId="4" xfId="0" applyFont="1" applyBorder="1" applyAlignment="1">
      <alignment vertical="center"/>
    </xf>
    <xf numFmtId="165" fontId="96" fillId="0" borderId="7" xfId="0" applyNumberFormat="1" applyFont="1" applyFill="1" applyBorder="1" applyAlignment="1">
      <alignment vertical="center"/>
    </xf>
    <xf numFmtId="165" fontId="96" fillId="0" borderId="4" xfId="0" applyNumberFormat="1" applyFont="1" applyFill="1" applyBorder="1" applyAlignment="1">
      <alignment vertical="center"/>
    </xf>
    <xf numFmtId="165" fontId="96" fillId="0" borderId="8" xfId="0" applyNumberFormat="1" applyFont="1" applyFill="1" applyBorder="1" applyAlignment="1">
      <alignment vertical="center"/>
    </xf>
    <xf numFmtId="165" fontId="96" fillId="0" borderId="4" xfId="0" applyNumberFormat="1" applyFont="1" applyFill="1" applyBorder="1" applyAlignment="1">
      <alignment horizontal="right" vertical="center"/>
    </xf>
    <xf numFmtId="165" fontId="96" fillId="0" borderId="7" xfId="0" applyNumberFormat="1" applyFont="1" applyFill="1" applyBorder="1" applyAlignment="1">
      <alignment horizontal="right" vertical="center"/>
    </xf>
    <xf numFmtId="165" fontId="96" fillId="0" borderId="8" xfId="0" applyNumberFormat="1" applyFont="1" applyFill="1" applyBorder="1" applyAlignment="1">
      <alignment horizontal="right" vertical="center"/>
    </xf>
    <xf numFmtId="0" fontId="54" fillId="3" borderId="13" xfId="0" applyFont="1" applyFill="1" applyBorder="1" applyAlignment="1">
      <alignment vertical="center" wrapText="1"/>
    </xf>
    <xf numFmtId="0" fontId="54" fillId="0" borderId="13" xfId="0" applyFont="1" applyFill="1" applyBorder="1" applyAlignment="1">
      <alignment vertical="center" wrapText="1"/>
    </xf>
    <xf numFmtId="165" fontId="54" fillId="0" borderId="14" xfId="0" applyNumberFormat="1" applyFont="1" applyFill="1" applyBorder="1" applyAlignment="1">
      <alignment horizontal="right" vertical="center"/>
    </xf>
    <xf numFmtId="165" fontId="54" fillId="0" borderId="13" xfId="0" applyNumberFormat="1" applyFont="1" applyFill="1" applyBorder="1" applyAlignment="1">
      <alignment horizontal="right" vertical="center"/>
    </xf>
    <xf numFmtId="165" fontId="54" fillId="0" borderId="15" xfId="0" applyNumberFormat="1" applyFont="1" applyFill="1" applyBorder="1" applyAlignment="1">
      <alignment horizontal="right" vertical="center"/>
    </xf>
    <xf numFmtId="0" fontId="55" fillId="0" borderId="9" xfId="0" applyFont="1" applyFill="1" applyBorder="1" applyAlignment="1">
      <alignment vertical="center"/>
    </xf>
    <xf numFmtId="0" fontId="55" fillId="0" borderId="1" xfId="4" applyFont="1" applyFill="1" applyBorder="1" applyAlignment="1">
      <alignment vertical="center"/>
    </xf>
    <xf numFmtId="165" fontId="55" fillId="0" borderId="10" xfId="0" applyNumberFormat="1" applyFont="1" applyFill="1" applyBorder="1" applyAlignment="1">
      <alignment horizontal="right" vertical="center"/>
    </xf>
    <xf numFmtId="165" fontId="55" fillId="0" borderId="9" xfId="0" applyNumberFormat="1" applyFont="1" applyFill="1" applyBorder="1" applyAlignment="1">
      <alignment horizontal="right" vertical="center"/>
    </xf>
    <xf numFmtId="165" fontId="55" fillId="0" borderId="11" xfId="0" applyNumberFormat="1" applyFont="1" applyFill="1" applyBorder="1" applyAlignment="1">
      <alignment horizontal="right" vertical="center"/>
    </xf>
    <xf numFmtId="165" fontId="54" fillId="0" borderId="13" xfId="0" quotePrefix="1" applyNumberFormat="1" applyFont="1" applyFill="1" applyBorder="1" applyAlignment="1">
      <alignment horizontal="right" vertical="center"/>
    </xf>
    <xf numFmtId="165" fontId="97" fillId="0" borderId="1" xfId="0" applyNumberFormat="1" applyFont="1" applyBorder="1" applyAlignment="1">
      <alignment vertical="center"/>
    </xf>
    <xf numFmtId="165" fontId="54" fillId="0" borderId="3" xfId="0" applyNumberFormat="1" applyFont="1" applyBorder="1" applyAlignment="1">
      <alignment horizontal="right" vertical="center" wrapText="1"/>
    </xf>
    <xf numFmtId="165" fontId="55" fillId="0" borderId="0" xfId="0" applyNumberFormat="1" applyFont="1"/>
    <xf numFmtId="0" fontId="97" fillId="0" borderId="1" xfId="0" applyFont="1" applyBorder="1" applyAlignment="1">
      <alignment vertical="center"/>
    </xf>
    <xf numFmtId="165" fontId="55" fillId="0" borderId="2" xfId="0" applyNumberFormat="1" applyFont="1" applyBorder="1" applyAlignment="1">
      <alignment vertical="center"/>
    </xf>
    <xf numFmtId="165" fontId="55" fillId="0" borderId="1" xfId="0" applyNumberFormat="1" applyFont="1" applyBorder="1" applyAlignment="1">
      <alignment vertical="center"/>
    </xf>
    <xf numFmtId="165" fontId="55" fillId="0" borderId="3" xfId="0" applyNumberFormat="1" applyFont="1" applyBorder="1" applyAlignment="1">
      <alignment vertical="center"/>
    </xf>
    <xf numFmtId="165" fontId="55" fillId="0" borderId="1" xfId="0" applyNumberFormat="1" applyFont="1" applyBorder="1" applyAlignment="1">
      <alignment horizontal="right" vertical="center"/>
    </xf>
    <xf numFmtId="165" fontId="55" fillId="0" borderId="2" xfId="0" applyNumberFormat="1" applyFont="1" applyBorder="1" applyAlignment="1">
      <alignment horizontal="right" vertical="center"/>
    </xf>
    <xf numFmtId="165" fontId="55" fillId="0" borderId="3" xfId="0" applyNumberFormat="1" applyFont="1" applyBorder="1" applyAlignment="1">
      <alignment horizontal="right" vertical="center"/>
    </xf>
    <xf numFmtId="174" fontId="55" fillId="0" borderId="2" xfId="10" applyNumberFormat="1" applyFont="1" applyFill="1" applyBorder="1" applyAlignment="1">
      <alignment horizontal="right" vertical="center"/>
    </xf>
    <xf numFmtId="174" fontId="55" fillId="0" borderId="1" xfId="10" applyNumberFormat="1" applyFont="1" applyFill="1" applyBorder="1" applyAlignment="1">
      <alignment horizontal="right" vertical="center"/>
    </xf>
    <xf numFmtId="0" fontId="100" fillId="0" borderId="0" xfId="0" applyFont="1" applyFill="1"/>
    <xf numFmtId="0" fontId="22" fillId="2" borderId="5" xfId="0" applyNumberFormat="1" applyFont="1" applyFill="1" applyBorder="1" applyAlignment="1">
      <alignment horizontal="center" vertical="center" wrapText="1"/>
    </xf>
    <xf numFmtId="0" fontId="22" fillId="2" borderId="0" xfId="0" applyNumberFormat="1" applyFont="1" applyFill="1" applyBorder="1" applyAlignment="1">
      <alignment horizontal="center" vertical="center" wrapText="1"/>
    </xf>
    <xf numFmtId="0" fontId="0" fillId="0" borderId="0" xfId="0" applyAlignment="1">
      <alignment vertical="center"/>
    </xf>
    <xf numFmtId="0" fontId="21" fillId="2" borderId="0" xfId="0" applyFont="1" applyFill="1" applyBorder="1" applyAlignment="1">
      <alignment horizontal="center" vertical="center" wrapText="1"/>
    </xf>
    <xf numFmtId="0" fontId="21" fillId="2" borderId="9" xfId="0" applyFont="1" applyFill="1" applyBorder="1" applyAlignment="1">
      <alignment horizontal="center" vertical="center" wrapText="1"/>
    </xf>
    <xf numFmtId="0" fontId="22" fillId="4" borderId="0" xfId="0" applyNumberFormat="1" applyFont="1" applyFill="1" applyBorder="1" applyAlignment="1">
      <alignment horizontal="center" vertical="center" wrapText="1"/>
    </xf>
    <xf numFmtId="0" fontId="22" fillId="4" borderId="6" xfId="0" applyNumberFormat="1" applyFont="1" applyFill="1" applyBorder="1" applyAlignment="1">
      <alignment horizontal="center" vertical="center" wrapText="1"/>
    </xf>
    <xf numFmtId="0" fontId="22" fillId="2" borderId="39" xfId="0" applyNumberFormat="1" applyFont="1" applyFill="1" applyBorder="1" applyAlignment="1">
      <alignment horizontal="center" vertical="center" wrapText="1"/>
    </xf>
    <xf numFmtId="0" fontId="0" fillId="0" borderId="40" xfId="0" applyBorder="1" applyAlignment="1">
      <alignment vertical="center"/>
    </xf>
    <xf numFmtId="0" fontId="22" fillId="4" borderId="5" xfId="0" applyNumberFormat="1" applyFont="1" applyFill="1" applyBorder="1" applyAlignment="1">
      <alignment horizontal="center" vertical="center" wrapText="1"/>
    </xf>
    <xf numFmtId="0" fontId="14" fillId="0" borderId="0" xfId="0" applyFont="1" applyAlignment="1">
      <alignment horizontal="center" vertical="center" wrapText="1"/>
    </xf>
    <xf numFmtId="0" fontId="22" fillId="2" borderId="38" xfId="0" applyNumberFormat="1" applyFont="1" applyFill="1" applyBorder="1" applyAlignment="1">
      <alignment horizontal="center" vertical="center" wrapText="1"/>
    </xf>
    <xf numFmtId="0" fontId="0" fillId="0" borderId="39" xfId="0" applyBorder="1" applyAlignment="1">
      <alignment vertical="center"/>
    </xf>
    <xf numFmtId="0" fontId="22" fillId="2" borderId="6" xfId="0" applyNumberFormat="1" applyFont="1" applyFill="1" applyBorder="1" applyAlignment="1">
      <alignment horizontal="center" vertical="center" wrapText="1"/>
    </xf>
    <xf numFmtId="0" fontId="17" fillId="0" borderId="0" xfId="0" applyFont="1" applyBorder="1" applyAlignment="1">
      <alignment vertical="center" wrapText="1"/>
    </xf>
    <xf numFmtId="0" fontId="14" fillId="0" borderId="0" xfId="0" applyFont="1" applyAlignment="1">
      <alignment vertical="center" wrapText="1"/>
    </xf>
    <xf numFmtId="0" fontId="0" fillId="0" borderId="0" xfId="0" applyAlignment="1">
      <alignment vertical="center" wrapText="1"/>
    </xf>
    <xf numFmtId="0" fontId="0" fillId="0" borderId="40" xfId="0" applyBorder="1" applyAlignment="1">
      <alignment vertical="center" wrapText="1"/>
    </xf>
    <xf numFmtId="0" fontId="0" fillId="0" borderId="39" xfId="0" applyBorder="1" applyAlignment="1">
      <alignment vertical="center" wrapText="1"/>
    </xf>
    <xf numFmtId="165" fontId="55" fillId="0" borderId="7" xfId="0" applyNumberFormat="1" applyFont="1" applyFill="1" applyBorder="1" applyAlignment="1">
      <alignment horizontal="right" vertical="center"/>
    </xf>
    <xf numFmtId="0" fontId="55" fillId="0" borderId="5" xfId="0" applyFont="1" applyBorder="1" applyAlignment="1">
      <alignment horizontal="right" vertical="center"/>
    </xf>
    <xf numFmtId="0" fontId="55" fillId="0" borderId="10" xfId="0" applyFont="1" applyBorder="1" applyAlignment="1">
      <alignment horizontal="right" vertical="center"/>
    </xf>
    <xf numFmtId="165" fontId="55" fillId="0" borderId="4" xfId="0" applyNumberFormat="1" applyFont="1" applyFill="1" applyBorder="1" applyAlignment="1">
      <alignment horizontal="right" vertical="center"/>
    </xf>
    <xf numFmtId="0" fontId="55" fillId="0" borderId="0" xfId="0" applyFont="1" applyBorder="1" applyAlignment="1">
      <alignment horizontal="right" vertical="center"/>
    </xf>
    <xf numFmtId="0" fontId="55" fillId="0" borderId="9" xfId="0" applyFont="1" applyBorder="1" applyAlignment="1">
      <alignment horizontal="right" vertical="center"/>
    </xf>
    <xf numFmtId="165" fontId="55" fillId="0" borderId="8" xfId="0" applyNumberFormat="1" applyFont="1" applyFill="1" applyBorder="1" applyAlignment="1">
      <alignment horizontal="right" vertical="center"/>
    </xf>
    <xf numFmtId="0" fontId="55" fillId="0" borderId="6" xfId="0" applyFont="1" applyBorder="1" applyAlignment="1">
      <alignment horizontal="right" vertical="center"/>
    </xf>
    <xf numFmtId="0" fontId="55" fillId="0" borderId="11" xfId="0" applyFont="1" applyBorder="1" applyAlignment="1">
      <alignment horizontal="right" vertical="center"/>
    </xf>
    <xf numFmtId="165" fontId="55" fillId="0" borderId="4" xfId="0" applyNumberFormat="1" applyFont="1" applyFill="1" applyBorder="1" applyAlignment="1">
      <alignment horizontal="center" vertical="center"/>
    </xf>
    <xf numFmtId="165" fontId="55" fillId="0" borderId="9" xfId="0" applyNumberFormat="1" applyFont="1" applyFill="1" applyBorder="1" applyAlignment="1">
      <alignment horizontal="center" vertical="center"/>
    </xf>
    <xf numFmtId="165" fontId="55" fillId="0" borderId="8" xfId="0" applyNumberFormat="1" applyFont="1" applyFill="1" applyBorder="1" applyAlignment="1">
      <alignment horizontal="center" vertical="center"/>
    </xf>
    <xf numFmtId="165" fontId="55" fillId="0" borderId="11" xfId="0" applyNumberFormat="1" applyFont="1" applyFill="1" applyBorder="1" applyAlignment="1">
      <alignment horizontal="center" vertical="center"/>
    </xf>
    <xf numFmtId="165" fontId="55" fillId="0" borderId="6" xfId="0" applyNumberFormat="1" applyFont="1" applyFill="1" applyBorder="1" applyAlignment="1">
      <alignment horizontal="center" vertical="center"/>
    </xf>
    <xf numFmtId="165" fontId="55" fillId="0" borderId="7" xfId="0" applyNumberFormat="1" applyFont="1" applyFill="1" applyBorder="1" applyAlignment="1">
      <alignment horizontal="center" vertical="center"/>
    </xf>
    <xf numFmtId="165" fontId="55" fillId="0" borderId="5" xfId="0" applyNumberFormat="1" applyFont="1" applyFill="1" applyBorder="1" applyAlignment="1">
      <alignment horizontal="center" vertical="center"/>
    </xf>
    <xf numFmtId="165" fontId="55" fillId="0" borderId="10" xfId="0" applyNumberFormat="1" applyFont="1" applyFill="1" applyBorder="1" applyAlignment="1">
      <alignment horizontal="center" vertical="center"/>
    </xf>
    <xf numFmtId="165" fontId="55" fillId="0" borderId="0" xfId="0" applyNumberFormat="1" applyFont="1" applyFill="1" applyBorder="1" applyAlignment="1">
      <alignment horizontal="center" vertical="center"/>
    </xf>
    <xf numFmtId="0" fontId="22" fillId="4" borderId="39" xfId="0" applyNumberFormat="1" applyFont="1" applyFill="1" applyBorder="1" applyAlignment="1">
      <alignment horizontal="center" vertical="center" wrapText="1"/>
    </xf>
    <xf numFmtId="0" fontId="22" fillId="4" borderId="38" xfId="0" applyNumberFormat="1" applyFont="1" applyFill="1" applyBorder="1" applyAlignment="1">
      <alignment horizontal="center" vertical="center" wrapText="1"/>
    </xf>
    <xf numFmtId="0" fontId="52" fillId="4" borderId="1" xfId="13" applyFont="1" applyFill="1" applyBorder="1" applyAlignment="1">
      <alignment horizontal="center" vertical="center" wrapText="1"/>
    </xf>
    <xf numFmtId="0" fontId="52" fillId="4" borderId="18" xfId="13" applyFont="1" applyFill="1" applyBorder="1" applyAlignment="1">
      <alignment horizontal="center" vertical="center" wrapText="1"/>
    </xf>
    <xf numFmtId="1" fontId="30" fillId="2" borderId="0" xfId="4" applyNumberFormat="1" applyFont="1" applyFill="1" applyBorder="1" applyAlignment="1">
      <alignment horizontal="center" vertical="center"/>
    </xf>
    <xf numFmtId="0" fontId="52" fillId="4" borderId="0" xfId="13" applyFont="1" applyFill="1" applyBorder="1" applyAlignment="1">
      <alignment horizontal="center" vertical="center" wrapText="1"/>
    </xf>
    <xf numFmtId="0" fontId="30" fillId="4" borderId="5" xfId="13" applyNumberFormat="1" applyFont="1" applyFill="1" applyBorder="1" applyAlignment="1">
      <alignment horizontal="center" vertical="center" wrapText="1"/>
    </xf>
    <xf numFmtId="0" fontId="30" fillId="4" borderId="0" xfId="13" applyNumberFormat="1" applyFont="1" applyFill="1" applyBorder="1" applyAlignment="1">
      <alignment horizontal="center" vertical="center" wrapText="1"/>
    </xf>
    <xf numFmtId="0" fontId="0" fillId="0" borderId="0" xfId="0" applyAlignment="1"/>
    <xf numFmtId="0" fontId="30" fillId="4" borderId="39" xfId="13" applyNumberFormat="1" applyFont="1" applyFill="1" applyBorder="1" applyAlignment="1">
      <alignment horizontal="center" vertical="center" wrapText="1"/>
    </xf>
    <xf numFmtId="0" fontId="0" fillId="0" borderId="40" xfId="0" applyBorder="1" applyAlignment="1"/>
    <xf numFmtId="0" fontId="30" fillId="4" borderId="38" xfId="13" applyNumberFormat="1" applyFont="1" applyFill="1" applyBorder="1" applyAlignment="1">
      <alignment horizontal="center" vertical="center" wrapText="1"/>
    </xf>
    <xf numFmtId="0" fontId="0" fillId="0" borderId="39" xfId="0" applyBorder="1" applyAlignment="1"/>
    <xf numFmtId="0" fontId="8" fillId="2" borderId="0"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9" fillId="2" borderId="5" xfId="0" applyNumberFormat="1" applyFont="1" applyFill="1" applyBorder="1" applyAlignment="1">
      <alignment horizontal="center" vertical="center" wrapText="1"/>
    </xf>
    <xf numFmtId="0" fontId="9" fillId="4" borderId="0" xfId="0" applyNumberFormat="1" applyFont="1" applyFill="1" applyBorder="1" applyAlignment="1">
      <alignment horizontal="center" vertical="center" wrapText="1"/>
    </xf>
    <xf numFmtId="0" fontId="9" fillId="4" borderId="6" xfId="0" applyNumberFormat="1" applyFont="1" applyFill="1" applyBorder="1" applyAlignment="1">
      <alignment horizontal="center" vertical="center" wrapText="1"/>
    </xf>
    <xf numFmtId="0" fontId="9" fillId="2" borderId="0" xfId="0" applyNumberFormat="1" applyFont="1" applyFill="1" applyBorder="1" applyAlignment="1">
      <alignment horizontal="center" vertical="center" wrapText="1"/>
    </xf>
    <xf numFmtId="0" fontId="9" fillId="2" borderId="5"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6" xfId="0" applyNumberFormat="1" applyFont="1" applyFill="1" applyBorder="1" applyAlignment="1">
      <alignment horizontal="center" vertical="center"/>
    </xf>
    <xf numFmtId="0" fontId="9" fillId="2" borderId="5" xfId="4" applyNumberFormat="1" applyFont="1" applyFill="1" applyBorder="1" applyAlignment="1">
      <alignment horizontal="center" vertical="center" wrapText="1"/>
    </xf>
    <xf numFmtId="0" fontId="9" fillId="2" borderId="0" xfId="4" applyNumberFormat="1" applyFont="1" applyFill="1" applyBorder="1" applyAlignment="1">
      <alignment horizontal="center" vertical="center" wrapText="1"/>
    </xf>
    <xf numFmtId="0" fontId="9" fillId="4" borderId="5" xfId="0" applyNumberFormat="1" applyFont="1" applyFill="1" applyBorder="1" applyAlignment="1">
      <alignment horizontal="center" vertical="center" wrapText="1"/>
    </xf>
    <xf numFmtId="1" fontId="9" fillId="2" borderId="5" xfId="4" applyNumberFormat="1" applyFont="1" applyFill="1" applyBorder="1" applyAlignment="1">
      <alignment horizontal="center" vertical="center" wrapText="1"/>
    </xf>
    <xf numFmtId="1" fontId="9" fillId="2" borderId="0" xfId="4" applyNumberFormat="1" applyFont="1" applyFill="1" applyBorder="1" applyAlignment="1">
      <alignment horizontal="center" vertical="center" wrapText="1"/>
    </xf>
    <xf numFmtId="1" fontId="9" fillId="2" borderId="6" xfId="4" applyNumberFormat="1" applyFont="1" applyFill="1" applyBorder="1" applyAlignment="1">
      <alignment horizontal="center" vertical="center" wrapText="1"/>
    </xf>
    <xf numFmtId="0" fontId="9" fillId="2" borderId="39" xfId="4" applyNumberFormat="1" applyFont="1" applyFill="1" applyBorder="1" applyAlignment="1">
      <alignment horizontal="center" vertical="center" wrapText="1"/>
    </xf>
    <xf numFmtId="0" fontId="9" fillId="2" borderId="38" xfId="4" applyNumberFormat="1" applyFont="1" applyFill="1" applyBorder="1" applyAlignment="1">
      <alignment horizontal="center" vertical="center" wrapText="1"/>
    </xf>
    <xf numFmtId="1" fontId="22" fillId="2" borderId="5" xfId="4" applyNumberFormat="1" applyFont="1" applyFill="1" applyBorder="1" applyAlignment="1">
      <alignment horizontal="center" vertical="center" wrapText="1"/>
    </xf>
    <xf numFmtId="1" fontId="22" fillId="2" borderId="0" xfId="4" applyNumberFormat="1" applyFont="1" applyFill="1" applyBorder="1" applyAlignment="1">
      <alignment horizontal="center" vertical="center" wrapText="1"/>
    </xf>
    <xf numFmtId="0" fontId="22" fillId="4" borderId="5" xfId="13" applyNumberFormat="1" applyFont="1" applyFill="1" applyBorder="1" applyAlignment="1">
      <alignment horizontal="center" vertical="center" wrapText="1"/>
    </xf>
    <xf numFmtId="0" fontId="22" fillId="4" borderId="0" xfId="13" applyNumberFormat="1" applyFont="1" applyFill="1" applyBorder="1" applyAlignment="1">
      <alignment horizontal="center" vertical="center" wrapText="1"/>
    </xf>
    <xf numFmtId="0" fontId="21" fillId="2" borderId="4" xfId="0" applyFont="1" applyFill="1" applyBorder="1" applyAlignment="1">
      <alignment horizontal="center" vertical="center" wrapText="1"/>
    </xf>
    <xf numFmtId="1" fontId="22" fillId="2" borderId="4" xfId="4" applyNumberFormat="1" applyFont="1" applyFill="1" applyBorder="1" applyAlignment="1">
      <alignment horizontal="center" vertical="center"/>
    </xf>
    <xf numFmtId="0" fontId="22" fillId="4" borderId="38" xfId="13" applyNumberFormat="1" applyFont="1" applyFill="1" applyBorder="1" applyAlignment="1">
      <alignment horizontal="center" vertical="center" wrapText="1"/>
    </xf>
    <xf numFmtId="0" fontId="22" fillId="4" borderId="39" xfId="13" applyNumberFormat="1" applyFont="1" applyFill="1" applyBorder="1" applyAlignment="1">
      <alignment horizontal="center" vertical="center" wrapText="1"/>
    </xf>
    <xf numFmtId="0" fontId="30" fillId="6" borderId="5" xfId="0" applyFont="1" applyFill="1" applyBorder="1" applyAlignment="1">
      <alignment horizontal="center" vertical="center"/>
    </xf>
    <xf numFmtId="0" fontId="30" fillId="6" borderId="0" xfId="0" applyFont="1" applyFill="1" applyBorder="1" applyAlignment="1">
      <alignment horizontal="center" vertical="center"/>
    </xf>
    <xf numFmtId="1" fontId="22" fillId="2" borderId="5" xfId="4" applyNumberFormat="1" applyFont="1" applyFill="1" applyBorder="1" applyAlignment="1">
      <alignment horizontal="center" vertical="center"/>
    </xf>
    <xf numFmtId="1" fontId="22" fillId="2" borderId="0" xfId="4" applyNumberFormat="1" applyFont="1" applyFill="1" applyBorder="1" applyAlignment="1">
      <alignment horizontal="center" vertical="center"/>
    </xf>
  </cellXfs>
  <cellStyles count="21789">
    <cellStyle name="˙˙˙" xfId="1"/>
    <cellStyle name="˙˙˙ 2" xfId="2"/>
    <cellStyle name="˙˙˙ 2 2" xfId="21780"/>
    <cellStyle name="=D:\WINNT\SYSTEM32\COMMAND.COM" xfId="27"/>
    <cellStyle name="=D:\WINNT\SYSTEM32\COMMAND.COM 2" xfId="28"/>
    <cellStyle name="=D:\WINNT\SYSTEM32\COMMAND.COM 2 2" xfId="29"/>
    <cellStyle name="=D:\WINNT\SYSTEM32\COMMAND.COM 3" xfId="30"/>
    <cellStyle name="1 000 Kč_laroux" xfId="31"/>
    <cellStyle name="20% - akcent 1 2" xfId="32"/>
    <cellStyle name="20% - akcent 1 2 2" xfId="33"/>
    <cellStyle name="20% - akcent 1 2 3" xfId="34"/>
    <cellStyle name="20% - akcent 1 3" xfId="35"/>
    <cellStyle name="20% - akcent 1 3 10" xfId="36"/>
    <cellStyle name="20% - akcent 1 3 10 2" xfId="37"/>
    <cellStyle name="20% - akcent 1 3 10 2 2" xfId="38"/>
    <cellStyle name="20% - akcent 1 3 10 2 2 2" xfId="39"/>
    <cellStyle name="20% - akcent 1 3 10 2 2 2 2" xfId="40"/>
    <cellStyle name="20% - akcent 1 3 10 2 2 3" xfId="41"/>
    <cellStyle name="20% - akcent 1 3 10 2 2 3 2" xfId="42"/>
    <cellStyle name="20% - akcent 1 3 10 2 2 4" xfId="43"/>
    <cellStyle name="20% - akcent 1 3 10 2 3" xfId="44"/>
    <cellStyle name="20% - akcent 1 3 10 2 3 2" xfId="45"/>
    <cellStyle name="20% - akcent 1 3 10 2 4" xfId="46"/>
    <cellStyle name="20% - akcent 1 3 10 2 4 2" xfId="47"/>
    <cellStyle name="20% - akcent 1 3 10 2 5" xfId="48"/>
    <cellStyle name="20% - akcent 1 3 10 3" xfId="49"/>
    <cellStyle name="20% - akcent 1 3 10 3 2" xfId="50"/>
    <cellStyle name="20% - akcent 1 3 10 3 2 2" xfId="51"/>
    <cellStyle name="20% - akcent 1 3 10 3 3" xfId="52"/>
    <cellStyle name="20% - akcent 1 3 10 3 3 2" xfId="53"/>
    <cellStyle name="20% - akcent 1 3 10 3 4" xfId="54"/>
    <cellStyle name="20% - akcent 1 3 10 4" xfId="55"/>
    <cellStyle name="20% - akcent 1 3 10 4 2" xfId="56"/>
    <cellStyle name="20% - akcent 1 3 10 5" xfId="57"/>
    <cellStyle name="20% - akcent 1 3 10 5 2" xfId="58"/>
    <cellStyle name="20% - akcent 1 3 10 6" xfId="59"/>
    <cellStyle name="20% - akcent 1 3 11" xfId="60"/>
    <cellStyle name="20% - akcent 1 3 11 2" xfId="61"/>
    <cellStyle name="20% - akcent 1 3 11 2 2" xfId="62"/>
    <cellStyle name="20% - akcent 1 3 11 2 2 2" xfId="63"/>
    <cellStyle name="20% - akcent 1 3 11 2 3" xfId="64"/>
    <cellStyle name="20% - akcent 1 3 11 2 3 2" xfId="65"/>
    <cellStyle name="20% - akcent 1 3 11 2 4" xfId="66"/>
    <cellStyle name="20% - akcent 1 3 11 3" xfId="67"/>
    <cellStyle name="20% - akcent 1 3 11 3 2" xfId="68"/>
    <cellStyle name="20% - akcent 1 3 11 4" xfId="69"/>
    <cellStyle name="20% - akcent 1 3 11 4 2" xfId="70"/>
    <cellStyle name="20% - akcent 1 3 11 5" xfId="71"/>
    <cellStyle name="20% - akcent 1 3 12" xfId="72"/>
    <cellStyle name="20% - akcent 1 3 12 2" xfId="73"/>
    <cellStyle name="20% - akcent 1 3 12 2 2" xfId="74"/>
    <cellStyle name="20% - akcent 1 3 12 2 2 2" xfId="75"/>
    <cellStyle name="20% - akcent 1 3 12 2 3" xfId="76"/>
    <cellStyle name="20% - akcent 1 3 12 2 3 2" xfId="77"/>
    <cellStyle name="20% - akcent 1 3 12 2 4" xfId="78"/>
    <cellStyle name="20% - akcent 1 3 12 3" xfId="79"/>
    <cellStyle name="20% - akcent 1 3 12 3 2" xfId="80"/>
    <cellStyle name="20% - akcent 1 3 12 4" xfId="81"/>
    <cellStyle name="20% - akcent 1 3 12 4 2" xfId="82"/>
    <cellStyle name="20% - akcent 1 3 12 5" xfId="83"/>
    <cellStyle name="20% - akcent 1 3 13" xfId="84"/>
    <cellStyle name="20% - akcent 1 3 13 2" xfId="85"/>
    <cellStyle name="20% - akcent 1 3 13 2 2" xfId="86"/>
    <cellStyle name="20% - akcent 1 3 13 2 2 2" xfId="87"/>
    <cellStyle name="20% - akcent 1 3 13 2 3" xfId="88"/>
    <cellStyle name="20% - akcent 1 3 13 2 3 2" xfId="89"/>
    <cellStyle name="20% - akcent 1 3 13 2 4" xfId="90"/>
    <cellStyle name="20% - akcent 1 3 13 3" xfId="91"/>
    <cellStyle name="20% - akcent 1 3 13 3 2" xfId="92"/>
    <cellStyle name="20% - akcent 1 3 13 4" xfId="93"/>
    <cellStyle name="20% - akcent 1 3 13 4 2" xfId="94"/>
    <cellStyle name="20% - akcent 1 3 13 5" xfId="95"/>
    <cellStyle name="20% - akcent 1 3 14" xfId="96"/>
    <cellStyle name="20% - akcent 1 3 14 2" xfId="97"/>
    <cellStyle name="20% - akcent 1 3 14 2 2" xfId="98"/>
    <cellStyle name="20% - akcent 1 3 14 3" xfId="99"/>
    <cellStyle name="20% - akcent 1 3 14 3 2" xfId="100"/>
    <cellStyle name="20% - akcent 1 3 14 4" xfId="101"/>
    <cellStyle name="20% - akcent 1 3 15" xfId="102"/>
    <cellStyle name="20% - akcent 1 3 15 2" xfId="103"/>
    <cellStyle name="20% - akcent 1 3 15 2 2" xfId="104"/>
    <cellStyle name="20% - akcent 1 3 15 3" xfId="105"/>
    <cellStyle name="20% - akcent 1 3 15 3 2" xfId="106"/>
    <cellStyle name="20% - akcent 1 3 15 4" xfId="107"/>
    <cellStyle name="20% - akcent 1 3 16" xfId="108"/>
    <cellStyle name="20% - akcent 1 3 16 2" xfId="109"/>
    <cellStyle name="20% - akcent 1 3 17" xfId="110"/>
    <cellStyle name="20% - akcent 1 3 17 2" xfId="111"/>
    <cellStyle name="20% - akcent 1 3 18" xfId="112"/>
    <cellStyle name="20% - akcent 1 3 18 2" xfId="113"/>
    <cellStyle name="20% - akcent 1 3 19" xfId="114"/>
    <cellStyle name="20% - akcent 1 3 2" xfId="115"/>
    <cellStyle name="20% - akcent 1 3 2 10" xfId="116"/>
    <cellStyle name="20% - akcent 1 3 2 10 2" xfId="117"/>
    <cellStyle name="20% - akcent 1 3 2 10 2 2" xfId="118"/>
    <cellStyle name="20% - akcent 1 3 2 10 2 2 2" xfId="119"/>
    <cellStyle name="20% - akcent 1 3 2 10 2 3" xfId="120"/>
    <cellStyle name="20% - akcent 1 3 2 10 2 3 2" xfId="121"/>
    <cellStyle name="20% - akcent 1 3 2 10 2 4" xfId="122"/>
    <cellStyle name="20% - akcent 1 3 2 10 3" xfId="123"/>
    <cellStyle name="20% - akcent 1 3 2 10 3 2" xfId="124"/>
    <cellStyle name="20% - akcent 1 3 2 10 4" xfId="125"/>
    <cellStyle name="20% - akcent 1 3 2 10 4 2" xfId="126"/>
    <cellStyle name="20% - akcent 1 3 2 10 5" xfId="127"/>
    <cellStyle name="20% - akcent 1 3 2 11" xfId="128"/>
    <cellStyle name="20% - akcent 1 3 2 11 2" xfId="129"/>
    <cellStyle name="20% - akcent 1 3 2 11 2 2" xfId="130"/>
    <cellStyle name="20% - akcent 1 3 2 11 3" xfId="131"/>
    <cellStyle name="20% - akcent 1 3 2 11 3 2" xfId="132"/>
    <cellStyle name="20% - akcent 1 3 2 11 4" xfId="133"/>
    <cellStyle name="20% - akcent 1 3 2 12" xfId="134"/>
    <cellStyle name="20% - akcent 1 3 2 12 2" xfId="135"/>
    <cellStyle name="20% - akcent 1 3 2 12 2 2" xfId="136"/>
    <cellStyle name="20% - akcent 1 3 2 12 3" xfId="137"/>
    <cellStyle name="20% - akcent 1 3 2 12 3 2" xfId="138"/>
    <cellStyle name="20% - akcent 1 3 2 12 4" xfId="139"/>
    <cellStyle name="20% - akcent 1 3 2 13" xfId="140"/>
    <cellStyle name="20% - akcent 1 3 2 13 2" xfId="141"/>
    <cellStyle name="20% - akcent 1 3 2 14" xfId="142"/>
    <cellStyle name="20% - akcent 1 3 2 14 2" xfId="143"/>
    <cellStyle name="20% - akcent 1 3 2 15" xfId="144"/>
    <cellStyle name="20% - akcent 1 3 2 15 2" xfId="145"/>
    <cellStyle name="20% - akcent 1 3 2 16" xfId="146"/>
    <cellStyle name="20% - akcent 1 3 2 2" xfId="147"/>
    <cellStyle name="20% - akcent 1 3 2 2 10" xfId="148"/>
    <cellStyle name="20% - akcent 1 3 2 2 10 2" xfId="149"/>
    <cellStyle name="20% - akcent 1 3 2 2 11" xfId="150"/>
    <cellStyle name="20% - akcent 1 3 2 2 11 2" xfId="151"/>
    <cellStyle name="20% - akcent 1 3 2 2 12" xfId="152"/>
    <cellStyle name="20% - akcent 1 3 2 2 2" xfId="153"/>
    <cellStyle name="20% - akcent 1 3 2 2 2 10" xfId="154"/>
    <cellStyle name="20% - akcent 1 3 2 2 2 2" xfId="155"/>
    <cellStyle name="20% - akcent 1 3 2 2 2 2 2" xfId="156"/>
    <cellStyle name="20% - akcent 1 3 2 2 2 2 2 2" xfId="157"/>
    <cellStyle name="20% - akcent 1 3 2 2 2 2 2 2 2" xfId="158"/>
    <cellStyle name="20% - akcent 1 3 2 2 2 2 2 2 2 2" xfId="159"/>
    <cellStyle name="20% - akcent 1 3 2 2 2 2 2 2 3" xfId="160"/>
    <cellStyle name="20% - akcent 1 3 2 2 2 2 2 2 3 2" xfId="161"/>
    <cellStyle name="20% - akcent 1 3 2 2 2 2 2 2 4" xfId="162"/>
    <cellStyle name="20% - akcent 1 3 2 2 2 2 2 3" xfId="163"/>
    <cellStyle name="20% - akcent 1 3 2 2 2 2 2 3 2" xfId="164"/>
    <cellStyle name="20% - akcent 1 3 2 2 2 2 2 4" xfId="165"/>
    <cellStyle name="20% - akcent 1 3 2 2 2 2 2 4 2" xfId="166"/>
    <cellStyle name="20% - akcent 1 3 2 2 2 2 2 5" xfId="167"/>
    <cellStyle name="20% - akcent 1 3 2 2 2 2 3" xfId="168"/>
    <cellStyle name="20% - akcent 1 3 2 2 2 2 3 2" xfId="169"/>
    <cellStyle name="20% - akcent 1 3 2 2 2 2 3 2 2" xfId="170"/>
    <cellStyle name="20% - akcent 1 3 2 2 2 2 3 2 2 2" xfId="171"/>
    <cellStyle name="20% - akcent 1 3 2 2 2 2 3 2 3" xfId="172"/>
    <cellStyle name="20% - akcent 1 3 2 2 2 2 3 2 3 2" xfId="173"/>
    <cellStyle name="20% - akcent 1 3 2 2 2 2 3 2 4" xfId="174"/>
    <cellStyle name="20% - akcent 1 3 2 2 2 2 3 3" xfId="175"/>
    <cellStyle name="20% - akcent 1 3 2 2 2 2 3 3 2" xfId="176"/>
    <cellStyle name="20% - akcent 1 3 2 2 2 2 3 4" xfId="177"/>
    <cellStyle name="20% - akcent 1 3 2 2 2 2 3 4 2" xfId="178"/>
    <cellStyle name="20% - akcent 1 3 2 2 2 2 3 5" xfId="179"/>
    <cellStyle name="20% - akcent 1 3 2 2 2 2 4" xfId="180"/>
    <cellStyle name="20% - akcent 1 3 2 2 2 2 4 2" xfId="181"/>
    <cellStyle name="20% - akcent 1 3 2 2 2 2 4 2 2" xfId="182"/>
    <cellStyle name="20% - akcent 1 3 2 2 2 2 4 2 2 2" xfId="183"/>
    <cellStyle name="20% - akcent 1 3 2 2 2 2 4 2 3" xfId="184"/>
    <cellStyle name="20% - akcent 1 3 2 2 2 2 4 2 3 2" xfId="185"/>
    <cellStyle name="20% - akcent 1 3 2 2 2 2 4 2 4" xfId="186"/>
    <cellStyle name="20% - akcent 1 3 2 2 2 2 4 3" xfId="187"/>
    <cellStyle name="20% - akcent 1 3 2 2 2 2 4 3 2" xfId="188"/>
    <cellStyle name="20% - akcent 1 3 2 2 2 2 4 4" xfId="189"/>
    <cellStyle name="20% - akcent 1 3 2 2 2 2 4 4 2" xfId="190"/>
    <cellStyle name="20% - akcent 1 3 2 2 2 2 4 5" xfId="191"/>
    <cellStyle name="20% - akcent 1 3 2 2 2 2 5" xfId="192"/>
    <cellStyle name="20% - akcent 1 3 2 2 2 2 5 2" xfId="193"/>
    <cellStyle name="20% - akcent 1 3 2 2 2 2 5 2 2" xfId="194"/>
    <cellStyle name="20% - akcent 1 3 2 2 2 2 5 3" xfId="195"/>
    <cellStyle name="20% - akcent 1 3 2 2 2 2 5 3 2" xfId="196"/>
    <cellStyle name="20% - akcent 1 3 2 2 2 2 5 4" xfId="197"/>
    <cellStyle name="20% - akcent 1 3 2 2 2 2 6" xfId="198"/>
    <cellStyle name="20% - akcent 1 3 2 2 2 2 6 2" xfId="199"/>
    <cellStyle name="20% - akcent 1 3 2 2 2 2 7" xfId="200"/>
    <cellStyle name="20% - akcent 1 3 2 2 2 2 7 2" xfId="201"/>
    <cellStyle name="20% - akcent 1 3 2 2 2 2 8" xfId="202"/>
    <cellStyle name="20% - akcent 1 3 2 2 2 3" xfId="203"/>
    <cellStyle name="20% - akcent 1 3 2 2 2 3 2" xfId="204"/>
    <cellStyle name="20% - akcent 1 3 2 2 2 3 2 2" xfId="205"/>
    <cellStyle name="20% - akcent 1 3 2 2 2 3 2 2 2" xfId="206"/>
    <cellStyle name="20% - akcent 1 3 2 2 2 3 2 2 2 2" xfId="207"/>
    <cellStyle name="20% - akcent 1 3 2 2 2 3 2 2 3" xfId="208"/>
    <cellStyle name="20% - akcent 1 3 2 2 2 3 2 2 3 2" xfId="209"/>
    <cellStyle name="20% - akcent 1 3 2 2 2 3 2 2 4" xfId="210"/>
    <cellStyle name="20% - akcent 1 3 2 2 2 3 2 3" xfId="211"/>
    <cellStyle name="20% - akcent 1 3 2 2 2 3 2 3 2" xfId="212"/>
    <cellStyle name="20% - akcent 1 3 2 2 2 3 2 4" xfId="213"/>
    <cellStyle name="20% - akcent 1 3 2 2 2 3 2 4 2" xfId="214"/>
    <cellStyle name="20% - akcent 1 3 2 2 2 3 2 5" xfId="215"/>
    <cellStyle name="20% - akcent 1 3 2 2 2 3 3" xfId="216"/>
    <cellStyle name="20% - akcent 1 3 2 2 2 3 3 2" xfId="217"/>
    <cellStyle name="20% - akcent 1 3 2 2 2 3 3 2 2" xfId="218"/>
    <cellStyle name="20% - akcent 1 3 2 2 2 3 3 2 2 2" xfId="219"/>
    <cellStyle name="20% - akcent 1 3 2 2 2 3 3 2 3" xfId="220"/>
    <cellStyle name="20% - akcent 1 3 2 2 2 3 3 2 3 2" xfId="221"/>
    <cellStyle name="20% - akcent 1 3 2 2 2 3 3 2 4" xfId="222"/>
    <cellStyle name="20% - akcent 1 3 2 2 2 3 3 3" xfId="223"/>
    <cellStyle name="20% - akcent 1 3 2 2 2 3 3 3 2" xfId="224"/>
    <cellStyle name="20% - akcent 1 3 2 2 2 3 3 4" xfId="225"/>
    <cellStyle name="20% - akcent 1 3 2 2 2 3 3 4 2" xfId="226"/>
    <cellStyle name="20% - akcent 1 3 2 2 2 3 3 5" xfId="227"/>
    <cellStyle name="20% - akcent 1 3 2 2 2 3 4" xfId="228"/>
    <cellStyle name="20% - akcent 1 3 2 2 2 3 4 2" xfId="229"/>
    <cellStyle name="20% - akcent 1 3 2 2 2 3 4 2 2" xfId="230"/>
    <cellStyle name="20% - akcent 1 3 2 2 2 3 4 2 2 2" xfId="231"/>
    <cellStyle name="20% - akcent 1 3 2 2 2 3 4 2 3" xfId="232"/>
    <cellStyle name="20% - akcent 1 3 2 2 2 3 4 2 3 2" xfId="233"/>
    <cellStyle name="20% - akcent 1 3 2 2 2 3 4 2 4" xfId="234"/>
    <cellStyle name="20% - akcent 1 3 2 2 2 3 4 3" xfId="235"/>
    <cellStyle name="20% - akcent 1 3 2 2 2 3 4 3 2" xfId="236"/>
    <cellStyle name="20% - akcent 1 3 2 2 2 3 4 4" xfId="237"/>
    <cellStyle name="20% - akcent 1 3 2 2 2 3 4 4 2" xfId="238"/>
    <cellStyle name="20% - akcent 1 3 2 2 2 3 4 5" xfId="239"/>
    <cellStyle name="20% - akcent 1 3 2 2 2 3 5" xfId="240"/>
    <cellStyle name="20% - akcent 1 3 2 2 2 3 5 2" xfId="241"/>
    <cellStyle name="20% - akcent 1 3 2 2 2 3 5 2 2" xfId="242"/>
    <cellStyle name="20% - akcent 1 3 2 2 2 3 5 3" xfId="243"/>
    <cellStyle name="20% - akcent 1 3 2 2 2 3 5 3 2" xfId="244"/>
    <cellStyle name="20% - akcent 1 3 2 2 2 3 5 4" xfId="245"/>
    <cellStyle name="20% - akcent 1 3 2 2 2 3 6" xfId="246"/>
    <cellStyle name="20% - akcent 1 3 2 2 2 3 6 2" xfId="247"/>
    <cellStyle name="20% - akcent 1 3 2 2 2 3 7" xfId="248"/>
    <cellStyle name="20% - akcent 1 3 2 2 2 3 7 2" xfId="249"/>
    <cellStyle name="20% - akcent 1 3 2 2 2 3 8" xfId="250"/>
    <cellStyle name="20% - akcent 1 3 2 2 2 4" xfId="251"/>
    <cellStyle name="20% - akcent 1 3 2 2 2 4 2" xfId="252"/>
    <cellStyle name="20% - akcent 1 3 2 2 2 4 2 2" xfId="253"/>
    <cellStyle name="20% - akcent 1 3 2 2 2 4 2 2 2" xfId="254"/>
    <cellStyle name="20% - akcent 1 3 2 2 2 4 2 3" xfId="255"/>
    <cellStyle name="20% - akcent 1 3 2 2 2 4 2 3 2" xfId="256"/>
    <cellStyle name="20% - akcent 1 3 2 2 2 4 2 4" xfId="257"/>
    <cellStyle name="20% - akcent 1 3 2 2 2 4 3" xfId="258"/>
    <cellStyle name="20% - akcent 1 3 2 2 2 4 3 2" xfId="259"/>
    <cellStyle name="20% - akcent 1 3 2 2 2 4 4" xfId="260"/>
    <cellStyle name="20% - akcent 1 3 2 2 2 4 4 2" xfId="261"/>
    <cellStyle name="20% - akcent 1 3 2 2 2 4 5" xfId="262"/>
    <cellStyle name="20% - akcent 1 3 2 2 2 5" xfId="263"/>
    <cellStyle name="20% - akcent 1 3 2 2 2 5 2" xfId="264"/>
    <cellStyle name="20% - akcent 1 3 2 2 2 5 2 2" xfId="265"/>
    <cellStyle name="20% - akcent 1 3 2 2 2 5 2 2 2" xfId="266"/>
    <cellStyle name="20% - akcent 1 3 2 2 2 5 2 3" xfId="267"/>
    <cellStyle name="20% - akcent 1 3 2 2 2 5 2 3 2" xfId="268"/>
    <cellStyle name="20% - akcent 1 3 2 2 2 5 2 4" xfId="269"/>
    <cellStyle name="20% - akcent 1 3 2 2 2 5 3" xfId="270"/>
    <cellStyle name="20% - akcent 1 3 2 2 2 5 3 2" xfId="271"/>
    <cellStyle name="20% - akcent 1 3 2 2 2 5 4" xfId="272"/>
    <cellStyle name="20% - akcent 1 3 2 2 2 5 4 2" xfId="273"/>
    <cellStyle name="20% - akcent 1 3 2 2 2 5 5" xfId="274"/>
    <cellStyle name="20% - akcent 1 3 2 2 2 6" xfId="275"/>
    <cellStyle name="20% - akcent 1 3 2 2 2 6 2" xfId="276"/>
    <cellStyle name="20% - akcent 1 3 2 2 2 6 2 2" xfId="277"/>
    <cellStyle name="20% - akcent 1 3 2 2 2 6 2 2 2" xfId="278"/>
    <cellStyle name="20% - akcent 1 3 2 2 2 6 2 3" xfId="279"/>
    <cellStyle name="20% - akcent 1 3 2 2 2 6 2 3 2" xfId="280"/>
    <cellStyle name="20% - akcent 1 3 2 2 2 6 2 4" xfId="281"/>
    <cellStyle name="20% - akcent 1 3 2 2 2 6 3" xfId="282"/>
    <cellStyle name="20% - akcent 1 3 2 2 2 6 3 2" xfId="283"/>
    <cellStyle name="20% - akcent 1 3 2 2 2 6 4" xfId="284"/>
    <cellStyle name="20% - akcent 1 3 2 2 2 6 4 2" xfId="285"/>
    <cellStyle name="20% - akcent 1 3 2 2 2 6 5" xfId="286"/>
    <cellStyle name="20% - akcent 1 3 2 2 2 7" xfId="287"/>
    <cellStyle name="20% - akcent 1 3 2 2 2 7 2" xfId="288"/>
    <cellStyle name="20% - akcent 1 3 2 2 2 7 2 2" xfId="289"/>
    <cellStyle name="20% - akcent 1 3 2 2 2 7 3" xfId="290"/>
    <cellStyle name="20% - akcent 1 3 2 2 2 7 3 2" xfId="291"/>
    <cellStyle name="20% - akcent 1 3 2 2 2 7 4" xfId="292"/>
    <cellStyle name="20% - akcent 1 3 2 2 2 8" xfId="293"/>
    <cellStyle name="20% - akcent 1 3 2 2 2 8 2" xfId="294"/>
    <cellStyle name="20% - akcent 1 3 2 2 2 9" xfId="295"/>
    <cellStyle name="20% - akcent 1 3 2 2 2 9 2" xfId="296"/>
    <cellStyle name="20% - akcent 1 3 2 2 3" xfId="297"/>
    <cellStyle name="20% - akcent 1 3 2 2 3 2" xfId="298"/>
    <cellStyle name="20% - akcent 1 3 2 2 3 2 2" xfId="299"/>
    <cellStyle name="20% - akcent 1 3 2 2 3 2 2 2" xfId="300"/>
    <cellStyle name="20% - akcent 1 3 2 2 3 2 2 2 2" xfId="301"/>
    <cellStyle name="20% - akcent 1 3 2 2 3 2 2 3" xfId="302"/>
    <cellStyle name="20% - akcent 1 3 2 2 3 2 2 3 2" xfId="303"/>
    <cellStyle name="20% - akcent 1 3 2 2 3 2 2 4" xfId="304"/>
    <cellStyle name="20% - akcent 1 3 2 2 3 2 3" xfId="305"/>
    <cellStyle name="20% - akcent 1 3 2 2 3 2 3 2" xfId="306"/>
    <cellStyle name="20% - akcent 1 3 2 2 3 2 4" xfId="307"/>
    <cellStyle name="20% - akcent 1 3 2 2 3 2 4 2" xfId="308"/>
    <cellStyle name="20% - akcent 1 3 2 2 3 2 5" xfId="309"/>
    <cellStyle name="20% - akcent 1 3 2 2 3 3" xfId="310"/>
    <cellStyle name="20% - akcent 1 3 2 2 3 3 2" xfId="311"/>
    <cellStyle name="20% - akcent 1 3 2 2 3 3 2 2" xfId="312"/>
    <cellStyle name="20% - akcent 1 3 2 2 3 3 2 2 2" xfId="313"/>
    <cellStyle name="20% - akcent 1 3 2 2 3 3 2 3" xfId="314"/>
    <cellStyle name="20% - akcent 1 3 2 2 3 3 2 3 2" xfId="315"/>
    <cellStyle name="20% - akcent 1 3 2 2 3 3 2 4" xfId="316"/>
    <cellStyle name="20% - akcent 1 3 2 2 3 3 3" xfId="317"/>
    <cellStyle name="20% - akcent 1 3 2 2 3 3 3 2" xfId="318"/>
    <cellStyle name="20% - akcent 1 3 2 2 3 3 4" xfId="319"/>
    <cellStyle name="20% - akcent 1 3 2 2 3 3 4 2" xfId="320"/>
    <cellStyle name="20% - akcent 1 3 2 2 3 3 5" xfId="321"/>
    <cellStyle name="20% - akcent 1 3 2 2 3 4" xfId="322"/>
    <cellStyle name="20% - akcent 1 3 2 2 3 4 2" xfId="323"/>
    <cellStyle name="20% - akcent 1 3 2 2 3 4 2 2" xfId="324"/>
    <cellStyle name="20% - akcent 1 3 2 2 3 4 2 2 2" xfId="325"/>
    <cellStyle name="20% - akcent 1 3 2 2 3 4 2 3" xfId="326"/>
    <cellStyle name="20% - akcent 1 3 2 2 3 4 2 3 2" xfId="327"/>
    <cellStyle name="20% - akcent 1 3 2 2 3 4 2 4" xfId="328"/>
    <cellStyle name="20% - akcent 1 3 2 2 3 4 3" xfId="329"/>
    <cellStyle name="20% - akcent 1 3 2 2 3 4 3 2" xfId="330"/>
    <cellStyle name="20% - akcent 1 3 2 2 3 4 4" xfId="331"/>
    <cellStyle name="20% - akcent 1 3 2 2 3 4 4 2" xfId="332"/>
    <cellStyle name="20% - akcent 1 3 2 2 3 4 5" xfId="333"/>
    <cellStyle name="20% - akcent 1 3 2 2 3 5" xfId="334"/>
    <cellStyle name="20% - akcent 1 3 2 2 3 5 2" xfId="335"/>
    <cellStyle name="20% - akcent 1 3 2 2 3 5 2 2" xfId="336"/>
    <cellStyle name="20% - akcent 1 3 2 2 3 5 3" xfId="337"/>
    <cellStyle name="20% - akcent 1 3 2 2 3 5 3 2" xfId="338"/>
    <cellStyle name="20% - akcent 1 3 2 2 3 5 4" xfId="339"/>
    <cellStyle name="20% - akcent 1 3 2 2 3 6" xfId="340"/>
    <cellStyle name="20% - akcent 1 3 2 2 3 6 2" xfId="341"/>
    <cellStyle name="20% - akcent 1 3 2 2 3 7" xfId="342"/>
    <cellStyle name="20% - akcent 1 3 2 2 3 7 2" xfId="343"/>
    <cellStyle name="20% - akcent 1 3 2 2 3 8" xfId="344"/>
    <cellStyle name="20% - akcent 1 3 2 2 4" xfId="345"/>
    <cellStyle name="20% - akcent 1 3 2 2 4 2" xfId="346"/>
    <cellStyle name="20% - akcent 1 3 2 2 4 2 2" xfId="347"/>
    <cellStyle name="20% - akcent 1 3 2 2 4 2 2 2" xfId="348"/>
    <cellStyle name="20% - akcent 1 3 2 2 4 2 2 2 2" xfId="349"/>
    <cellStyle name="20% - akcent 1 3 2 2 4 2 2 3" xfId="350"/>
    <cellStyle name="20% - akcent 1 3 2 2 4 2 2 3 2" xfId="351"/>
    <cellStyle name="20% - akcent 1 3 2 2 4 2 2 4" xfId="352"/>
    <cellStyle name="20% - akcent 1 3 2 2 4 2 3" xfId="353"/>
    <cellStyle name="20% - akcent 1 3 2 2 4 2 3 2" xfId="354"/>
    <cellStyle name="20% - akcent 1 3 2 2 4 2 4" xfId="355"/>
    <cellStyle name="20% - akcent 1 3 2 2 4 2 4 2" xfId="356"/>
    <cellStyle name="20% - akcent 1 3 2 2 4 2 5" xfId="357"/>
    <cellStyle name="20% - akcent 1 3 2 2 4 3" xfId="358"/>
    <cellStyle name="20% - akcent 1 3 2 2 4 3 2" xfId="359"/>
    <cellStyle name="20% - akcent 1 3 2 2 4 3 2 2" xfId="360"/>
    <cellStyle name="20% - akcent 1 3 2 2 4 3 2 2 2" xfId="361"/>
    <cellStyle name="20% - akcent 1 3 2 2 4 3 2 3" xfId="362"/>
    <cellStyle name="20% - akcent 1 3 2 2 4 3 2 3 2" xfId="363"/>
    <cellStyle name="20% - akcent 1 3 2 2 4 3 2 4" xfId="364"/>
    <cellStyle name="20% - akcent 1 3 2 2 4 3 3" xfId="365"/>
    <cellStyle name="20% - akcent 1 3 2 2 4 3 3 2" xfId="366"/>
    <cellStyle name="20% - akcent 1 3 2 2 4 3 4" xfId="367"/>
    <cellStyle name="20% - akcent 1 3 2 2 4 3 4 2" xfId="368"/>
    <cellStyle name="20% - akcent 1 3 2 2 4 3 5" xfId="369"/>
    <cellStyle name="20% - akcent 1 3 2 2 4 4" xfId="370"/>
    <cellStyle name="20% - akcent 1 3 2 2 4 4 2" xfId="371"/>
    <cellStyle name="20% - akcent 1 3 2 2 4 4 2 2" xfId="372"/>
    <cellStyle name="20% - akcent 1 3 2 2 4 4 2 2 2" xfId="373"/>
    <cellStyle name="20% - akcent 1 3 2 2 4 4 2 3" xfId="374"/>
    <cellStyle name="20% - akcent 1 3 2 2 4 4 2 3 2" xfId="375"/>
    <cellStyle name="20% - akcent 1 3 2 2 4 4 2 4" xfId="376"/>
    <cellStyle name="20% - akcent 1 3 2 2 4 4 3" xfId="377"/>
    <cellStyle name="20% - akcent 1 3 2 2 4 4 3 2" xfId="378"/>
    <cellStyle name="20% - akcent 1 3 2 2 4 4 4" xfId="379"/>
    <cellStyle name="20% - akcent 1 3 2 2 4 4 4 2" xfId="380"/>
    <cellStyle name="20% - akcent 1 3 2 2 4 4 5" xfId="381"/>
    <cellStyle name="20% - akcent 1 3 2 2 4 5" xfId="382"/>
    <cellStyle name="20% - akcent 1 3 2 2 4 5 2" xfId="383"/>
    <cellStyle name="20% - akcent 1 3 2 2 4 5 2 2" xfId="384"/>
    <cellStyle name="20% - akcent 1 3 2 2 4 5 3" xfId="385"/>
    <cellStyle name="20% - akcent 1 3 2 2 4 5 3 2" xfId="386"/>
    <cellStyle name="20% - akcent 1 3 2 2 4 5 4" xfId="387"/>
    <cellStyle name="20% - akcent 1 3 2 2 4 6" xfId="388"/>
    <cellStyle name="20% - akcent 1 3 2 2 4 6 2" xfId="389"/>
    <cellStyle name="20% - akcent 1 3 2 2 4 7" xfId="390"/>
    <cellStyle name="20% - akcent 1 3 2 2 4 7 2" xfId="391"/>
    <cellStyle name="20% - akcent 1 3 2 2 4 8" xfId="392"/>
    <cellStyle name="20% - akcent 1 3 2 2 5" xfId="393"/>
    <cellStyle name="20% - akcent 1 3 2 2 5 2" xfId="394"/>
    <cellStyle name="20% - akcent 1 3 2 2 5 2 2" xfId="395"/>
    <cellStyle name="20% - akcent 1 3 2 2 5 2 2 2" xfId="396"/>
    <cellStyle name="20% - akcent 1 3 2 2 5 2 2 2 2" xfId="397"/>
    <cellStyle name="20% - akcent 1 3 2 2 5 2 2 3" xfId="398"/>
    <cellStyle name="20% - akcent 1 3 2 2 5 2 2 3 2" xfId="399"/>
    <cellStyle name="20% - akcent 1 3 2 2 5 2 2 4" xfId="400"/>
    <cellStyle name="20% - akcent 1 3 2 2 5 2 3" xfId="401"/>
    <cellStyle name="20% - akcent 1 3 2 2 5 2 3 2" xfId="402"/>
    <cellStyle name="20% - akcent 1 3 2 2 5 2 4" xfId="403"/>
    <cellStyle name="20% - akcent 1 3 2 2 5 2 4 2" xfId="404"/>
    <cellStyle name="20% - akcent 1 3 2 2 5 2 5" xfId="405"/>
    <cellStyle name="20% - akcent 1 3 2 2 5 3" xfId="406"/>
    <cellStyle name="20% - akcent 1 3 2 2 5 3 2" xfId="407"/>
    <cellStyle name="20% - akcent 1 3 2 2 5 3 2 2" xfId="408"/>
    <cellStyle name="20% - akcent 1 3 2 2 5 3 3" xfId="409"/>
    <cellStyle name="20% - akcent 1 3 2 2 5 3 3 2" xfId="410"/>
    <cellStyle name="20% - akcent 1 3 2 2 5 3 4" xfId="411"/>
    <cellStyle name="20% - akcent 1 3 2 2 5 4" xfId="412"/>
    <cellStyle name="20% - akcent 1 3 2 2 5 4 2" xfId="413"/>
    <cellStyle name="20% - akcent 1 3 2 2 5 5" xfId="414"/>
    <cellStyle name="20% - akcent 1 3 2 2 5 5 2" xfId="415"/>
    <cellStyle name="20% - akcent 1 3 2 2 5 6" xfId="416"/>
    <cellStyle name="20% - akcent 1 3 2 2 6" xfId="417"/>
    <cellStyle name="20% - akcent 1 3 2 2 6 2" xfId="418"/>
    <cellStyle name="20% - akcent 1 3 2 2 6 2 2" xfId="419"/>
    <cellStyle name="20% - akcent 1 3 2 2 6 2 2 2" xfId="420"/>
    <cellStyle name="20% - akcent 1 3 2 2 6 2 3" xfId="421"/>
    <cellStyle name="20% - akcent 1 3 2 2 6 2 3 2" xfId="422"/>
    <cellStyle name="20% - akcent 1 3 2 2 6 2 4" xfId="423"/>
    <cellStyle name="20% - akcent 1 3 2 2 6 3" xfId="424"/>
    <cellStyle name="20% - akcent 1 3 2 2 6 3 2" xfId="425"/>
    <cellStyle name="20% - akcent 1 3 2 2 6 4" xfId="426"/>
    <cellStyle name="20% - akcent 1 3 2 2 6 4 2" xfId="427"/>
    <cellStyle name="20% - akcent 1 3 2 2 6 5" xfId="428"/>
    <cellStyle name="20% - akcent 1 3 2 2 7" xfId="429"/>
    <cellStyle name="20% - akcent 1 3 2 2 7 2" xfId="430"/>
    <cellStyle name="20% - akcent 1 3 2 2 7 2 2" xfId="431"/>
    <cellStyle name="20% - akcent 1 3 2 2 7 2 2 2" xfId="432"/>
    <cellStyle name="20% - akcent 1 3 2 2 7 2 3" xfId="433"/>
    <cellStyle name="20% - akcent 1 3 2 2 7 2 3 2" xfId="434"/>
    <cellStyle name="20% - akcent 1 3 2 2 7 2 4" xfId="435"/>
    <cellStyle name="20% - akcent 1 3 2 2 7 3" xfId="436"/>
    <cellStyle name="20% - akcent 1 3 2 2 7 3 2" xfId="437"/>
    <cellStyle name="20% - akcent 1 3 2 2 7 4" xfId="438"/>
    <cellStyle name="20% - akcent 1 3 2 2 7 4 2" xfId="439"/>
    <cellStyle name="20% - akcent 1 3 2 2 7 5" xfId="440"/>
    <cellStyle name="20% - akcent 1 3 2 2 8" xfId="441"/>
    <cellStyle name="20% - akcent 1 3 2 2 8 2" xfId="442"/>
    <cellStyle name="20% - akcent 1 3 2 2 8 2 2" xfId="443"/>
    <cellStyle name="20% - akcent 1 3 2 2 8 2 2 2" xfId="444"/>
    <cellStyle name="20% - akcent 1 3 2 2 8 2 3" xfId="445"/>
    <cellStyle name="20% - akcent 1 3 2 2 8 2 3 2" xfId="446"/>
    <cellStyle name="20% - akcent 1 3 2 2 8 2 4" xfId="447"/>
    <cellStyle name="20% - akcent 1 3 2 2 8 3" xfId="448"/>
    <cellStyle name="20% - akcent 1 3 2 2 8 3 2" xfId="449"/>
    <cellStyle name="20% - akcent 1 3 2 2 8 4" xfId="450"/>
    <cellStyle name="20% - akcent 1 3 2 2 8 4 2" xfId="451"/>
    <cellStyle name="20% - akcent 1 3 2 2 8 5" xfId="452"/>
    <cellStyle name="20% - akcent 1 3 2 2 9" xfId="453"/>
    <cellStyle name="20% - akcent 1 3 2 2 9 2" xfId="454"/>
    <cellStyle name="20% - akcent 1 3 2 2 9 2 2" xfId="455"/>
    <cellStyle name="20% - akcent 1 3 2 2 9 3" xfId="456"/>
    <cellStyle name="20% - akcent 1 3 2 2 9 3 2" xfId="457"/>
    <cellStyle name="20% - akcent 1 3 2 2 9 4" xfId="458"/>
    <cellStyle name="20% - akcent 1 3 2 3" xfId="459"/>
    <cellStyle name="20% - akcent 1 3 2 3 10" xfId="460"/>
    <cellStyle name="20% - akcent 1 3 2 3 10 2" xfId="461"/>
    <cellStyle name="20% - akcent 1 3 2 3 11" xfId="462"/>
    <cellStyle name="20% - akcent 1 3 2 3 2" xfId="463"/>
    <cellStyle name="20% - akcent 1 3 2 3 2 2" xfId="464"/>
    <cellStyle name="20% - akcent 1 3 2 3 2 2 2" xfId="465"/>
    <cellStyle name="20% - akcent 1 3 2 3 2 2 2 2" xfId="466"/>
    <cellStyle name="20% - akcent 1 3 2 3 2 2 2 2 2" xfId="467"/>
    <cellStyle name="20% - akcent 1 3 2 3 2 2 2 3" xfId="468"/>
    <cellStyle name="20% - akcent 1 3 2 3 2 2 2 3 2" xfId="469"/>
    <cellStyle name="20% - akcent 1 3 2 3 2 2 2 4" xfId="470"/>
    <cellStyle name="20% - akcent 1 3 2 3 2 2 3" xfId="471"/>
    <cellStyle name="20% - akcent 1 3 2 3 2 2 3 2" xfId="472"/>
    <cellStyle name="20% - akcent 1 3 2 3 2 2 4" xfId="473"/>
    <cellStyle name="20% - akcent 1 3 2 3 2 2 4 2" xfId="474"/>
    <cellStyle name="20% - akcent 1 3 2 3 2 2 5" xfId="475"/>
    <cellStyle name="20% - akcent 1 3 2 3 2 3" xfId="476"/>
    <cellStyle name="20% - akcent 1 3 2 3 2 3 2" xfId="477"/>
    <cellStyle name="20% - akcent 1 3 2 3 2 3 2 2" xfId="478"/>
    <cellStyle name="20% - akcent 1 3 2 3 2 3 2 2 2" xfId="479"/>
    <cellStyle name="20% - akcent 1 3 2 3 2 3 2 3" xfId="480"/>
    <cellStyle name="20% - akcent 1 3 2 3 2 3 2 3 2" xfId="481"/>
    <cellStyle name="20% - akcent 1 3 2 3 2 3 2 4" xfId="482"/>
    <cellStyle name="20% - akcent 1 3 2 3 2 3 3" xfId="483"/>
    <cellStyle name="20% - akcent 1 3 2 3 2 3 3 2" xfId="484"/>
    <cellStyle name="20% - akcent 1 3 2 3 2 3 4" xfId="485"/>
    <cellStyle name="20% - akcent 1 3 2 3 2 3 4 2" xfId="486"/>
    <cellStyle name="20% - akcent 1 3 2 3 2 3 5" xfId="487"/>
    <cellStyle name="20% - akcent 1 3 2 3 2 4" xfId="488"/>
    <cellStyle name="20% - akcent 1 3 2 3 2 4 2" xfId="489"/>
    <cellStyle name="20% - akcent 1 3 2 3 2 4 2 2" xfId="490"/>
    <cellStyle name="20% - akcent 1 3 2 3 2 4 2 2 2" xfId="491"/>
    <cellStyle name="20% - akcent 1 3 2 3 2 4 2 3" xfId="492"/>
    <cellStyle name="20% - akcent 1 3 2 3 2 4 2 3 2" xfId="493"/>
    <cellStyle name="20% - akcent 1 3 2 3 2 4 2 4" xfId="494"/>
    <cellStyle name="20% - akcent 1 3 2 3 2 4 3" xfId="495"/>
    <cellStyle name="20% - akcent 1 3 2 3 2 4 3 2" xfId="496"/>
    <cellStyle name="20% - akcent 1 3 2 3 2 4 4" xfId="497"/>
    <cellStyle name="20% - akcent 1 3 2 3 2 4 4 2" xfId="498"/>
    <cellStyle name="20% - akcent 1 3 2 3 2 4 5" xfId="499"/>
    <cellStyle name="20% - akcent 1 3 2 3 2 5" xfId="500"/>
    <cellStyle name="20% - akcent 1 3 2 3 2 5 2" xfId="501"/>
    <cellStyle name="20% - akcent 1 3 2 3 2 5 2 2" xfId="502"/>
    <cellStyle name="20% - akcent 1 3 2 3 2 5 3" xfId="503"/>
    <cellStyle name="20% - akcent 1 3 2 3 2 5 3 2" xfId="504"/>
    <cellStyle name="20% - akcent 1 3 2 3 2 5 4" xfId="505"/>
    <cellStyle name="20% - akcent 1 3 2 3 2 6" xfId="506"/>
    <cellStyle name="20% - akcent 1 3 2 3 2 6 2" xfId="507"/>
    <cellStyle name="20% - akcent 1 3 2 3 2 7" xfId="508"/>
    <cellStyle name="20% - akcent 1 3 2 3 2 7 2" xfId="509"/>
    <cellStyle name="20% - akcent 1 3 2 3 2 8" xfId="510"/>
    <cellStyle name="20% - akcent 1 3 2 3 3" xfId="511"/>
    <cellStyle name="20% - akcent 1 3 2 3 3 2" xfId="512"/>
    <cellStyle name="20% - akcent 1 3 2 3 3 2 2" xfId="513"/>
    <cellStyle name="20% - akcent 1 3 2 3 3 2 2 2" xfId="514"/>
    <cellStyle name="20% - akcent 1 3 2 3 3 2 2 2 2" xfId="515"/>
    <cellStyle name="20% - akcent 1 3 2 3 3 2 2 3" xfId="516"/>
    <cellStyle name="20% - akcent 1 3 2 3 3 2 2 3 2" xfId="517"/>
    <cellStyle name="20% - akcent 1 3 2 3 3 2 2 4" xfId="518"/>
    <cellStyle name="20% - akcent 1 3 2 3 3 2 3" xfId="519"/>
    <cellStyle name="20% - akcent 1 3 2 3 3 2 3 2" xfId="520"/>
    <cellStyle name="20% - akcent 1 3 2 3 3 2 4" xfId="521"/>
    <cellStyle name="20% - akcent 1 3 2 3 3 2 4 2" xfId="522"/>
    <cellStyle name="20% - akcent 1 3 2 3 3 2 5" xfId="523"/>
    <cellStyle name="20% - akcent 1 3 2 3 3 3" xfId="524"/>
    <cellStyle name="20% - akcent 1 3 2 3 3 3 2" xfId="525"/>
    <cellStyle name="20% - akcent 1 3 2 3 3 3 2 2" xfId="526"/>
    <cellStyle name="20% - akcent 1 3 2 3 3 3 2 2 2" xfId="527"/>
    <cellStyle name="20% - akcent 1 3 2 3 3 3 2 3" xfId="528"/>
    <cellStyle name="20% - akcent 1 3 2 3 3 3 2 3 2" xfId="529"/>
    <cellStyle name="20% - akcent 1 3 2 3 3 3 2 4" xfId="530"/>
    <cellStyle name="20% - akcent 1 3 2 3 3 3 3" xfId="531"/>
    <cellStyle name="20% - akcent 1 3 2 3 3 3 3 2" xfId="532"/>
    <cellStyle name="20% - akcent 1 3 2 3 3 3 4" xfId="533"/>
    <cellStyle name="20% - akcent 1 3 2 3 3 3 4 2" xfId="534"/>
    <cellStyle name="20% - akcent 1 3 2 3 3 3 5" xfId="535"/>
    <cellStyle name="20% - akcent 1 3 2 3 3 4" xfId="536"/>
    <cellStyle name="20% - akcent 1 3 2 3 3 4 2" xfId="537"/>
    <cellStyle name="20% - akcent 1 3 2 3 3 4 2 2" xfId="538"/>
    <cellStyle name="20% - akcent 1 3 2 3 3 4 2 2 2" xfId="539"/>
    <cellStyle name="20% - akcent 1 3 2 3 3 4 2 3" xfId="540"/>
    <cellStyle name="20% - akcent 1 3 2 3 3 4 2 3 2" xfId="541"/>
    <cellStyle name="20% - akcent 1 3 2 3 3 4 2 4" xfId="542"/>
    <cellStyle name="20% - akcent 1 3 2 3 3 4 3" xfId="543"/>
    <cellStyle name="20% - akcent 1 3 2 3 3 4 3 2" xfId="544"/>
    <cellStyle name="20% - akcent 1 3 2 3 3 4 4" xfId="545"/>
    <cellStyle name="20% - akcent 1 3 2 3 3 4 4 2" xfId="546"/>
    <cellStyle name="20% - akcent 1 3 2 3 3 4 5" xfId="547"/>
    <cellStyle name="20% - akcent 1 3 2 3 3 5" xfId="548"/>
    <cellStyle name="20% - akcent 1 3 2 3 3 5 2" xfId="549"/>
    <cellStyle name="20% - akcent 1 3 2 3 3 5 2 2" xfId="550"/>
    <cellStyle name="20% - akcent 1 3 2 3 3 5 3" xfId="551"/>
    <cellStyle name="20% - akcent 1 3 2 3 3 5 3 2" xfId="552"/>
    <cellStyle name="20% - akcent 1 3 2 3 3 5 4" xfId="553"/>
    <cellStyle name="20% - akcent 1 3 2 3 3 6" xfId="554"/>
    <cellStyle name="20% - akcent 1 3 2 3 3 6 2" xfId="555"/>
    <cellStyle name="20% - akcent 1 3 2 3 3 7" xfId="556"/>
    <cellStyle name="20% - akcent 1 3 2 3 3 7 2" xfId="557"/>
    <cellStyle name="20% - akcent 1 3 2 3 3 8" xfId="558"/>
    <cellStyle name="20% - akcent 1 3 2 3 4" xfId="559"/>
    <cellStyle name="20% - akcent 1 3 2 3 4 2" xfId="560"/>
    <cellStyle name="20% - akcent 1 3 2 3 4 2 2" xfId="561"/>
    <cellStyle name="20% - akcent 1 3 2 3 4 2 2 2" xfId="562"/>
    <cellStyle name="20% - akcent 1 3 2 3 4 2 2 2 2" xfId="563"/>
    <cellStyle name="20% - akcent 1 3 2 3 4 2 2 3" xfId="564"/>
    <cellStyle name="20% - akcent 1 3 2 3 4 2 2 3 2" xfId="565"/>
    <cellStyle name="20% - akcent 1 3 2 3 4 2 2 4" xfId="566"/>
    <cellStyle name="20% - akcent 1 3 2 3 4 2 3" xfId="567"/>
    <cellStyle name="20% - akcent 1 3 2 3 4 2 3 2" xfId="568"/>
    <cellStyle name="20% - akcent 1 3 2 3 4 2 4" xfId="569"/>
    <cellStyle name="20% - akcent 1 3 2 3 4 2 4 2" xfId="570"/>
    <cellStyle name="20% - akcent 1 3 2 3 4 2 5" xfId="571"/>
    <cellStyle name="20% - akcent 1 3 2 3 4 3" xfId="572"/>
    <cellStyle name="20% - akcent 1 3 2 3 4 3 2" xfId="573"/>
    <cellStyle name="20% - akcent 1 3 2 3 4 3 2 2" xfId="574"/>
    <cellStyle name="20% - akcent 1 3 2 3 4 3 3" xfId="575"/>
    <cellStyle name="20% - akcent 1 3 2 3 4 3 3 2" xfId="576"/>
    <cellStyle name="20% - akcent 1 3 2 3 4 3 4" xfId="577"/>
    <cellStyle name="20% - akcent 1 3 2 3 4 4" xfId="578"/>
    <cellStyle name="20% - akcent 1 3 2 3 4 4 2" xfId="579"/>
    <cellStyle name="20% - akcent 1 3 2 3 4 5" xfId="580"/>
    <cellStyle name="20% - akcent 1 3 2 3 4 5 2" xfId="581"/>
    <cellStyle name="20% - akcent 1 3 2 3 4 6" xfId="582"/>
    <cellStyle name="20% - akcent 1 3 2 3 5" xfId="583"/>
    <cellStyle name="20% - akcent 1 3 2 3 5 2" xfId="584"/>
    <cellStyle name="20% - akcent 1 3 2 3 5 2 2" xfId="585"/>
    <cellStyle name="20% - akcent 1 3 2 3 5 2 2 2" xfId="586"/>
    <cellStyle name="20% - akcent 1 3 2 3 5 2 3" xfId="587"/>
    <cellStyle name="20% - akcent 1 3 2 3 5 2 3 2" xfId="588"/>
    <cellStyle name="20% - akcent 1 3 2 3 5 2 4" xfId="589"/>
    <cellStyle name="20% - akcent 1 3 2 3 5 3" xfId="590"/>
    <cellStyle name="20% - akcent 1 3 2 3 5 3 2" xfId="591"/>
    <cellStyle name="20% - akcent 1 3 2 3 5 4" xfId="592"/>
    <cellStyle name="20% - akcent 1 3 2 3 5 4 2" xfId="593"/>
    <cellStyle name="20% - akcent 1 3 2 3 5 5" xfId="594"/>
    <cellStyle name="20% - akcent 1 3 2 3 6" xfId="595"/>
    <cellStyle name="20% - akcent 1 3 2 3 6 2" xfId="596"/>
    <cellStyle name="20% - akcent 1 3 2 3 6 2 2" xfId="597"/>
    <cellStyle name="20% - akcent 1 3 2 3 6 2 2 2" xfId="598"/>
    <cellStyle name="20% - akcent 1 3 2 3 6 2 3" xfId="599"/>
    <cellStyle name="20% - akcent 1 3 2 3 6 2 3 2" xfId="600"/>
    <cellStyle name="20% - akcent 1 3 2 3 6 2 4" xfId="601"/>
    <cellStyle name="20% - akcent 1 3 2 3 6 3" xfId="602"/>
    <cellStyle name="20% - akcent 1 3 2 3 6 3 2" xfId="603"/>
    <cellStyle name="20% - akcent 1 3 2 3 6 4" xfId="604"/>
    <cellStyle name="20% - akcent 1 3 2 3 6 4 2" xfId="605"/>
    <cellStyle name="20% - akcent 1 3 2 3 6 5" xfId="606"/>
    <cellStyle name="20% - akcent 1 3 2 3 7" xfId="607"/>
    <cellStyle name="20% - akcent 1 3 2 3 7 2" xfId="608"/>
    <cellStyle name="20% - akcent 1 3 2 3 7 2 2" xfId="609"/>
    <cellStyle name="20% - akcent 1 3 2 3 7 2 2 2" xfId="610"/>
    <cellStyle name="20% - akcent 1 3 2 3 7 2 3" xfId="611"/>
    <cellStyle name="20% - akcent 1 3 2 3 7 2 3 2" xfId="612"/>
    <cellStyle name="20% - akcent 1 3 2 3 7 2 4" xfId="613"/>
    <cellStyle name="20% - akcent 1 3 2 3 7 3" xfId="614"/>
    <cellStyle name="20% - akcent 1 3 2 3 7 3 2" xfId="615"/>
    <cellStyle name="20% - akcent 1 3 2 3 7 4" xfId="616"/>
    <cellStyle name="20% - akcent 1 3 2 3 7 4 2" xfId="617"/>
    <cellStyle name="20% - akcent 1 3 2 3 7 5" xfId="618"/>
    <cellStyle name="20% - akcent 1 3 2 3 8" xfId="619"/>
    <cellStyle name="20% - akcent 1 3 2 3 8 2" xfId="620"/>
    <cellStyle name="20% - akcent 1 3 2 3 8 2 2" xfId="621"/>
    <cellStyle name="20% - akcent 1 3 2 3 8 3" xfId="622"/>
    <cellStyle name="20% - akcent 1 3 2 3 8 3 2" xfId="623"/>
    <cellStyle name="20% - akcent 1 3 2 3 8 4" xfId="624"/>
    <cellStyle name="20% - akcent 1 3 2 3 9" xfId="625"/>
    <cellStyle name="20% - akcent 1 3 2 3 9 2" xfId="626"/>
    <cellStyle name="20% - akcent 1 3 2 4" xfId="627"/>
    <cellStyle name="20% - akcent 1 3 2 4 10" xfId="628"/>
    <cellStyle name="20% - akcent 1 3 2 4 2" xfId="629"/>
    <cellStyle name="20% - akcent 1 3 2 4 2 2" xfId="630"/>
    <cellStyle name="20% - akcent 1 3 2 4 2 2 2" xfId="631"/>
    <cellStyle name="20% - akcent 1 3 2 4 2 2 2 2" xfId="632"/>
    <cellStyle name="20% - akcent 1 3 2 4 2 2 2 2 2" xfId="633"/>
    <cellStyle name="20% - akcent 1 3 2 4 2 2 2 3" xfId="634"/>
    <cellStyle name="20% - akcent 1 3 2 4 2 2 2 3 2" xfId="635"/>
    <cellStyle name="20% - akcent 1 3 2 4 2 2 2 4" xfId="636"/>
    <cellStyle name="20% - akcent 1 3 2 4 2 2 3" xfId="637"/>
    <cellStyle name="20% - akcent 1 3 2 4 2 2 3 2" xfId="638"/>
    <cellStyle name="20% - akcent 1 3 2 4 2 2 4" xfId="639"/>
    <cellStyle name="20% - akcent 1 3 2 4 2 2 4 2" xfId="640"/>
    <cellStyle name="20% - akcent 1 3 2 4 2 2 5" xfId="641"/>
    <cellStyle name="20% - akcent 1 3 2 4 2 3" xfId="642"/>
    <cellStyle name="20% - akcent 1 3 2 4 2 3 2" xfId="643"/>
    <cellStyle name="20% - akcent 1 3 2 4 2 3 2 2" xfId="644"/>
    <cellStyle name="20% - akcent 1 3 2 4 2 3 2 2 2" xfId="645"/>
    <cellStyle name="20% - akcent 1 3 2 4 2 3 2 3" xfId="646"/>
    <cellStyle name="20% - akcent 1 3 2 4 2 3 2 3 2" xfId="647"/>
    <cellStyle name="20% - akcent 1 3 2 4 2 3 2 4" xfId="648"/>
    <cellStyle name="20% - akcent 1 3 2 4 2 3 3" xfId="649"/>
    <cellStyle name="20% - akcent 1 3 2 4 2 3 3 2" xfId="650"/>
    <cellStyle name="20% - akcent 1 3 2 4 2 3 4" xfId="651"/>
    <cellStyle name="20% - akcent 1 3 2 4 2 3 4 2" xfId="652"/>
    <cellStyle name="20% - akcent 1 3 2 4 2 3 5" xfId="653"/>
    <cellStyle name="20% - akcent 1 3 2 4 2 4" xfId="654"/>
    <cellStyle name="20% - akcent 1 3 2 4 2 4 2" xfId="655"/>
    <cellStyle name="20% - akcent 1 3 2 4 2 4 2 2" xfId="656"/>
    <cellStyle name="20% - akcent 1 3 2 4 2 4 2 2 2" xfId="657"/>
    <cellStyle name="20% - akcent 1 3 2 4 2 4 2 3" xfId="658"/>
    <cellStyle name="20% - akcent 1 3 2 4 2 4 2 3 2" xfId="659"/>
    <cellStyle name="20% - akcent 1 3 2 4 2 4 2 4" xfId="660"/>
    <cellStyle name="20% - akcent 1 3 2 4 2 4 3" xfId="661"/>
    <cellStyle name="20% - akcent 1 3 2 4 2 4 3 2" xfId="662"/>
    <cellStyle name="20% - akcent 1 3 2 4 2 4 4" xfId="663"/>
    <cellStyle name="20% - akcent 1 3 2 4 2 4 4 2" xfId="664"/>
    <cellStyle name="20% - akcent 1 3 2 4 2 4 5" xfId="665"/>
    <cellStyle name="20% - akcent 1 3 2 4 2 5" xfId="666"/>
    <cellStyle name="20% - akcent 1 3 2 4 2 5 2" xfId="667"/>
    <cellStyle name="20% - akcent 1 3 2 4 2 5 2 2" xfId="668"/>
    <cellStyle name="20% - akcent 1 3 2 4 2 5 3" xfId="669"/>
    <cellStyle name="20% - akcent 1 3 2 4 2 5 3 2" xfId="670"/>
    <cellStyle name="20% - akcent 1 3 2 4 2 5 4" xfId="671"/>
    <cellStyle name="20% - akcent 1 3 2 4 2 6" xfId="672"/>
    <cellStyle name="20% - akcent 1 3 2 4 2 6 2" xfId="673"/>
    <cellStyle name="20% - akcent 1 3 2 4 2 7" xfId="674"/>
    <cellStyle name="20% - akcent 1 3 2 4 2 7 2" xfId="675"/>
    <cellStyle name="20% - akcent 1 3 2 4 2 8" xfId="676"/>
    <cellStyle name="20% - akcent 1 3 2 4 3" xfId="677"/>
    <cellStyle name="20% - akcent 1 3 2 4 3 2" xfId="678"/>
    <cellStyle name="20% - akcent 1 3 2 4 3 2 2" xfId="679"/>
    <cellStyle name="20% - akcent 1 3 2 4 3 2 2 2" xfId="680"/>
    <cellStyle name="20% - akcent 1 3 2 4 3 2 2 2 2" xfId="681"/>
    <cellStyle name="20% - akcent 1 3 2 4 3 2 2 3" xfId="682"/>
    <cellStyle name="20% - akcent 1 3 2 4 3 2 2 3 2" xfId="683"/>
    <cellStyle name="20% - akcent 1 3 2 4 3 2 2 4" xfId="684"/>
    <cellStyle name="20% - akcent 1 3 2 4 3 2 3" xfId="685"/>
    <cellStyle name="20% - akcent 1 3 2 4 3 2 3 2" xfId="686"/>
    <cellStyle name="20% - akcent 1 3 2 4 3 2 4" xfId="687"/>
    <cellStyle name="20% - akcent 1 3 2 4 3 2 4 2" xfId="688"/>
    <cellStyle name="20% - akcent 1 3 2 4 3 2 5" xfId="689"/>
    <cellStyle name="20% - akcent 1 3 2 4 3 3" xfId="690"/>
    <cellStyle name="20% - akcent 1 3 2 4 3 3 2" xfId="691"/>
    <cellStyle name="20% - akcent 1 3 2 4 3 3 2 2" xfId="692"/>
    <cellStyle name="20% - akcent 1 3 2 4 3 3 2 2 2" xfId="693"/>
    <cellStyle name="20% - akcent 1 3 2 4 3 3 2 3" xfId="694"/>
    <cellStyle name="20% - akcent 1 3 2 4 3 3 2 3 2" xfId="695"/>
    <cellStyle name="20% - akcent 1 3 2 4 3 3 2 4" xfId="696"/>
    <cellStyle name="20% - akcent 1 3 2 4 3 3 3" xfId="697"/>
    <cellStyle name="20% - akcent 1 3 2 4 3 3 3 2" xfId="698"/>
    <cellStyle name="20% - akcent 1 3 2 4 3 3 4" xfId="699"/>
    <cellStyle name="20% - akcent 1 3 2 4 3 3 4 2" xfId="700"/>
    <cellStyle name="20% - akcent 1 3 2 4 3 3 5" xfId="701"/>
    <cellStyle name="20% - akcent 1 3 2 4 3 4" xfId="702"/>
    <cellStyle name="20% - akcent 1 3 2 4 3 4 2" xfId="703"/>
    <cellStyle name="20% - akcent 1 3 2 4 3 4 2 2" xfId="704"/>
    <cellStyle name="20% - akcent 1 3 2 4 3 4 2 2 2" xfId="705"/>
    <cellStyle name="20% - akcent 1 3 2 4 3 4 2 3" xfId="706"/>
    <cellStyle name="20% - akcent 1 3 2 4 3 4 2 3 2" xfId="707"/>
    <cellStyle name="20% - akcent 1 3 2 4 3 4 2 4" xfId="708"/>
    <cellStyle name="20% - akcent 1 3 2 4 3 4 3" xfId="709"/>
    <cellStyle name="20% - akcent 1 3 2 4 3 4 3 2" xfId="710"/>
    <cellStyle name="20% - akcent 1 3 2 4 3 4 4" xfId="711"/>
    <cellStyle name="20% - akcent 1 3 2 4 3 4 4 2" xfId="712"/>
    <cellStyle name="20% - akcent 1 3 2 4 3 4 5" xfId="713"/>
    <cellStyle name="20% - akcent 1 3 2 4 3 5" xfId="714"/>
    <cellStyle name="20% - akcent 1 3 2 4 3 5 2" xfId="715"/>
    <cellStyle name="20% - akcent 1 3 2 4 3 5 2 2" xfId="716"/>
    <cellStyle name="20% - akcent 1 3 2 4 3 5 3" xfId="717"/>
    <cellStyle name="20% - akcent 1 3 2 4 3 5 3 2" xfId="718"/>
    <cellStyle name="20% - akcent 1 3 2 4 3 5 4" xfId="719"/>
    <cellStyle name="20% - akcent 1 3 2 4 3 6" xfId="720"/>
    <cellStyle name="20% - akcent 1 3 2 4 3 6 2" xfId="721"/>
    <cellStyle name="20% - akcent 1 3 2 4 3 7" xfId="722"/>
    <cellStyle name="20% - akcent 1 3 2 4 3 7 2" xfId="723"/>
    <cellStyle name="20% - akcent 1 3 2 4 3 8" xfId="724"/>
    <cellStyle name="20% - akcent 1 3 2 4 4" xfId="725"/>
    <cellStyle name="20% - akcent 1 3 2 4 4 2" xfId="726"/>
    <cellStyle name="20% - akcent 1 3 2 4 4 2 2" xfId="727"/>
    <cellStyle name="20% - akcent 1 3 2 4 4 2 2 2" xfId="728"/>
    <cellStyle name="20% - akcent 1 3 2 4 4 2 3" xfId="729"/>
    <cellStyle name="20% - akcent 1 3 2 4 4 2 3 2" xfId="730"/>
    <cellStyle name="20% - akcent 1 3 2 4 4 2 4" xfId="731"/>
    <cellStyle name="20% - akcent 1 3 2 4 4 3" xfId="732"/>
    <cellStyle name="20% - akcent 1 3 2 4 4 3 2" xfId="733"/>
    <cellStyle name="20% - akcent 1 3 2 4 4 4" xfId="734"/>
    <cellStyle name="20% - akcent 1 3 2 4 4 4 2" xfId="735"/>
    <cellStyle name="20% - akcent 1 3 2 4 4 5" xfId="736"/>
    <cellStyle name="20% - akcent 1 3 2 4 5" xfId="737"/>
    <cellStyle name="20% - akcent 1 3 2 4 5 2" xfId="738"/>
    <cellStyle name="20% - akcent 1 3 2 4 5 2 2" xfId="739"/>
    <cellStyle name="20% - akcent 1 3 2 4 5 2 2 2" xfId="740"/>
    <cellStyle name="20% - akcent 1 3 2 4 5 2 3" xfId="741"/>
    <cellStyle name="20% - akcent 1 3 2 4 5 2 3 2" xfId="742"/>
    <cellStyle name="20% - akcent 1 3 2 4 5 2 4" xfId="743"/>
    <cellStyle name="20% - akcent 1 3 2 4 5 3" xfId="744"/>
    <cellStyle name="20% - akcent 1 3 2 4 5 3 2" xfId="745"/>
    <cellStyle name="20% - akcent 1 3 2 4 5 4" xfId="746"/>
    <cellStyle name="20% - akcent 1 3 2 4 5 4 2" xfId="747"/>
    <cellStyle name="20% - akcent 1 3 2 4 5 5" xfId="748"/>
    <cellStyle name="20% - akcent 1 3 2 4 6" xfId="749"/>
    <cellStyle name="20% - akcent 1 3 2 4 6 2" xfId="750"/>
    <cellStyle name="20% - akcent 1 3 2 4 6 2 2" xfId="751"/>
    <cellStyle name="20% - akcent 1 3 2 4 6 2 2 2" xfId="752"/>
    <cellStyle name="20% - akcent 1 3 2 4 6 2 3" xfId="753"/>
    <cellStyle name="20% - akcent 1 3 2 4 6 2 3 2" xfId="754"/>
    <cellStyle name="20% - akcent 1 3 2 4 6 2 4" xfId="755"/>
    <cellStyle name="20% - akcent 1 3 2 4 6 3" xfId="756"/>
    <cellStyle name="20% - akcent 1 3 2 4 6 3 2" xfId="757"/>
    <cellStyle name="20% - akcent 1 3 2 4 6 4" xfId="758"/>
    <cellStyle name="20% - akcent 1 3 2 4 6 4 2" xfId="759"/>
    <cellStyle name="20% - akcent 1 3 2 4 6 5" xfId="760"/>
    <cellStyle name="20% - akcent 1 3 2 4 7" xfId="761"/>
    <cellStyle name="20% - akcent 1 3 2 4 7 2" xfId="762"/>
    <cellStyle name="20% - akcent 1 3 2 4 7 2 2" xfId="763"/>
    <cellStyle name="20% - akcent 1 3 2 4 7 3" xfId="764"/>
    <cellStyle name="20% - akcent 1 3 2 4 7 3 2" xfId="765"/>
    <cellStyle name="20% - akcent 1 3 2 4 7 4" xfId="766"/>
    <cellStyle name="20% - akcent 1 3 2 4 8" xfId="767"/>
    <cellStyle name="20% - akcent 1 3 2 4 8 2" xfId="768"/>
    <cellStyle name="20% - akcent 1 3 2 4 9" xfId="769"/>
    <cellStyle name="20% - akcent 1 3 2 4 9 2" xfId="770"/>
    <cellStyle name="20% - akcent 1 3 2 5" xfId="771"/>
    <cellStyle name="20% - akcent 1 3 2 5 2" xfId="772"/>
    <cellStyle name="20% - akcent 1 3 2 5 2 2" xfId="773"/>
    <cellStyle name="20% - akcent 1 3 2 5 2 2 2" xfId="774"/>
    <cellStyle name="20% - akcent 1 3 2 5 2 2 2 2" xfId="775"/>
    <cellStyle name="20% - akcent 1 3 2 5 2 2 3" xfId="776"/>
    <cellStyle name="20% - akcent 1 3 2 5 2 2 3 2" xfId="777"/>
    <cellStyle name="20% - akcent 1 3 2 5 2 2 4" xfId="778"/>
    <cellStyle name="20% - akcent 1 3 2 5 2 3" xfId="779"/>
    <cellStyle name="20% - akcent 1 3 2 5 2 3 2" xfId="780"/>
    <cellStyle name="20% - akcent 1 3 2 5 2 4" xfId="781"/>
    <cellStyle name="20% - akcent 1 3 2 5 2 4 2" xfId="782"/>
    <cellStyle name="20% - akcent 1 3 2 5 2 5" xfId="783"/>
    <cellStyle name="20% - akcent 1 3 2 5 3" xfId="784"/>
    <cellStyle name="20% - akcent 1 3 2 5 3 2" xfId="785"/>
    <cellStyle name="20% - akcent 1 3 2 5 3 2 2" xfId="786"/>
    <cellStyle name="20% - akcent 1 3 2 5 3 2 2 2" xfId="787"/>
    <cellStyle name="20% - akcent 1 3 2 5 3 2 3" xfId="788"/>
    <cellStyle name="20% - akcent 1 3 2 5 3 2 3 2" xfId="789"/>
    <cellStyle name="20% - akcent 1 3 2 5 3 2 4" xfId="790"/>
    <cellStyle name="20% - akcent 1 3 2 5 3 3" xfId="791"/>
    <cellStyle name="20% - akcent 1 3 2 5 3 3 2" xfId="792"/>
    <cellStyle name="20% - akcent 1 3 2 5 3 4" xfId="793"/>
    <cellStyle name="20% - akcent 1 3 2 5 3 4 2" xfId="794"/>
    <cellStyle name="20% - akcent 1 3 2 5 3 5" xfId="795"/>
    <cellStyle name="20% - akcent 1 3 2 5 4" xfId="796"/>
    <cellStyle name="20% - akcent 1 3 2 5 4 2" xfId="797"/>
    <cellStyle name="20% - akcent 1 3 2 5 4 2 2" xfId="798"/>
    <cellStyle name="20% - akcent 1 3 2 5 4 2 2 2" xfId="799"/>
    <cellStyle name="20% - akcent 1 3 2 5 4 2 3" xfId="800"/>
    <cellStyle name="20% - akcent 1 3 2 5 4 2 3 2" xfId="801"/>
    <cellStyle name="20% - akcent 1 3 2 5 4 2 4" xfId="802"/>
    <cellStyle name="20% - akcent 1 3 2 5 4 3" xfId="803"/>
    <cellStyle name="20% - akcent 1 3 2 5 4 3 2" xfId="804"/>
    <cellStyle name="20% - akcent 1 3 2 5 4 4" xfId="805"/>
    <cellStyle name="20% - akcent 1 3 2 5 4 4 2" xfId="806"/>
    <cellStyle name="20% - akcent 1 3 2 5 4 5" xfId="807"/>
    <cellStyle name="20% - akcent 1 3 2 5 5" xfId="808"/>
    <cellStyle name="20% - akcent 1 3 2 5 5 2" xfId="809"/>
    <cellStyle name="20% - akcent 1 3 2 5 5 2 2" xfId="810"/>
    <cellStyle name="20% - akcent 1 3 2 5 5 3" xfId="811"/>
    <cellStyle name="20% - akcent 1 3 2 5 5 3 2" xfId="812"/>
    <cellStyle name="20% - akcent 1 3 2 5 5 4" xfId="813"/>
    <cellStyle name="20% - akcent 1 3 2 5 6" xfId="814"/>
    <cellStyle name="20% - akcent 1 3 2 5 6 2" xfId="815"/>
    <cellStyle name="20% - akcent 1 3 2 5 7" xfId="816"/>
    <cellStyle name="20% - akcent 1 3 2 5 7 2" xfId="817"/>
    <cellStyle name="20% - akcent 1 3 2 5 8" xfId="818"/>
    <cellStyle name="20% - akcent 1 3 2 6" xfId="819"/>
    <cellStyle name="20% - akcent 1 3 2 6 2" xfId="820"/>
    <cellStyle name="20% - akcent 1 3 2 6 2 2" xfId="821"/>
    <cellStyle name="20% - akcent 1 3 2 6 2 2 2" xfId="822"/>
    <cellStyle name="20% - akcent 1 3 2 6 2 2 2 2" xfId="823"/>
    <cellStyle name="20% - akcent 1 3 2 6 2 2 3" xfId="824"/>
    <cellStyle name="20% - akcent 1 3 2 6 2 2 3 2" xfId="825"/>
    <cellStyle name="20% - akcent 1 3 2 6 2 2 4" xfId="826"/>
    <cellStyle name="20% - akcent 1 3 2 6 2 3" xfId="827"/>
    <cellStyle name="20% - akcent 1 3 2 6 2 3 2" xfId="828"/>
    <cellStyle name="20% - akcent 1 3 2 6 2 4" xfId="829"/>
    <cellStyle name="20% - akcent 1 3 2 6 2 4 2" xfId="830"/>
    <cellStyle name="20% - akcent 1 3 2 6 2 5" xfId="831"/>
    <cellStyle name="20% - akcent 1 3 2 6 3" xfId="832"/>
    <cellStyle name="20% - akcent 1 3 2 6 3 2" xfId="833"/>
    <cellStyle name="20% - akcent 1 3 2 6 3 2 2" xfId="834"/>
    <cellStyle name="20% - akcent 1 3 2 6 3 2 2 2" xfId="835"/>
    <cellStyle name="20% - akcent 1 3 2 6 3 2 3" xfId="836"/>
    <cellStyle name="20% - akcent 1 3 2 6 3 2 3 2" xfId="837"/>
    <cellStyle name="20% - akcent 1 3 2 6 3 2 4" xfId="838"/>
    <cellStyle name="20% - akcent 1 3 2 6 3 3" xfId="839"/>
    <cellStyle name="20% - akcent 1 3 2 6 3 3 2" xfId="840"/>
    <cellStyle name="20% - akcent 1 3 2 6 3 4" xfId="841"/>
    <cellStyle name="20% - akcent 1 3 2 6 3 4 2" xfId="842"/>
    <cellStyle name="20% - akcent 1 3 2 6 3 5" xfId="843"/>
    <cellStyle name="20% - akcent 1 3 2 6 4" xfId="844"/>
    <cellStyle name="20% - akcent 1 3 2 6 4 2" xfId="845"/>
    <cellStyle name="20% - akcent 1 3 2 6 4 2 2" xfId="846"/>
    <cellStyle name="20% - akcent 1 3 2 6 4 2 2 2" xfId="847"/>
    <cellStyle name="20% - akcent 1 3 2 6 4 2 3" xfId="848"/>
    <cellStyle name="20% - akcent 1 3 2 6 4 2 3 2" xfId="849"/>
    <cellStyle name="20% - akcent 1 3 2 6 4 2 4" xfId="850"/>
    <cellStyle name="20% - akcent 1 3 2 6 4 3" xfId="851"/>
    <cellStyle name="20% - akcent 1 3 2 6 4 3 2" xfId="852"/>
    <cellStyle name="20% - akcent 1 3 2 6 4 4" xfId="853"/>
    <cellStyle name="20% - akcent 1 3 2 6 4 4 2" xfId="854"/>
    <cellStyle name="20% - akcent 1 3 2 6 4 5" xfId="855"/>
    <cellStyle name="20% - akcent 1 3 2 6 5" xfId="856"/>
    <cellStyle name="20% - akcent 1 3 2 6 5 2" xfId="857"/>
    <cellStyle name="20% - akcent 1 3 2 6 5 2 2" xfId="858"/>
    <cellStyle name="20% - akcent 1 3 2 6 5 3" xfId="859"/>
    <cellStyle name="20% - akcent 1 3 2 6 5 3 2" xfId="860"/>
    <cellStyle name="20% - akcent 1 3 2 6 5 4" xfId="861"/>
    <cellStyle name="20% - akcent 1 3 2 6 6" xfId="862"/>
    <cellStyle name="20% - akcent 1 3 2 6 6 2" xfId="863"/>
    <cellStyle name="20% - akcent 1 3 2 6 7" xfId="864"/>
    <cellStyle name="20% - akcent 1 3 2 6 7 2" xfId="865"/>
    <cellStyle name="20% - akcent 1 3 2 6 8" xfId="866"/>
    <cellStyle name="20% - akcent 1 3 2 7" xfId="867"/>
    <cellStyle name="20% - akcent 1 3 2 7 2" xfId="868"/>
    <cellStyle name="20% - akcent 1 3 2 7 2 2" xfId="869"/>
    <cellStyle name="20% - akcent 1 3 2 7 2 2 2" xfId="870"/>
    <cellStyle name="20% - akcent 1 3 2 7 2 2 2 2" xfId="871"/>
    <cellStyle name="20% - akcent 1 3 2 7 2 2 3" xfId="872"/>
    <cellStyle name="20% - akcent 1 3 2 7 2 2 3 2" xfId="873"/>
    <cellStyle name="20% - akcent 1 3 2 7 2 2 4" xfId="874"/>
    <cellStyle name="20% - akcent 1 3 2 7 2 3" xfId="875"/>
    <cellStyle name="20% - akcent 1 3 2 7 2 3 2" xfId="876"/>
    <cellStyle name="20% - akcent 1 3 2 7 2 4" xfId="877"/>
    <cellStyle name="20% - akcent 1 3 2 7 2 4 2" xfId="878"/>
    <cellStyle name="20% - akcent 1 3 2 7 2 5" xfId="879"/>
    <cellStyle name="20% - akcent 1 3 2 7 3" xfId="880"/>
    <cellStyle name="20% - akcent 1 3 2 7 3 2" xfId="881"/>
    <cellStyle name="20% - akcent 1 3 2 7 3 2 2" xfId="882"/>
    <cellStyle name="20% - akcent 1 3 2 7 3 3" xfId="883"/>
    <cellStyle name="20% - akcent 1 3 2 7 3 3 2" xfId="884"/>
    <cellStyle name="20% - akcent 1 3 2 7 3 4" xfId="885"/>
    <cellStyle name="20% - akcent 1 3 2 7 4" xfId="886"/>
    <cellStyle name="20% - akcent 1 3 2 7 4 2" xfId="887"/>
    <cellStyle name="20% - akcent 1 3 2 7 5" xfId="888"/>
    <cellStyle name="20% - akcent 1 3 2 7 5 2" xfId="889"/>
    <cellStyle name="20% - akcent 1 3 2 7 6" xfId="890"/>
    <cellStyle name="20% - akcent 1 3 2 8" xfId="891"/>
    <cellStyle name="20% - akcent 1 3 2 8 2" xfId="892"/>
    <cellStyle name="20% - akcent 1 3 2 8 2 2" xfId="893"/>
    <cellStyle name="20% - akcent 1 3 2 8 2 2 2" xfId="894"/>
    <cellStyle name="20% - akcent 1 3 2 8 2 3" xfId="895"/>
    <cellStyle name="20% - akcent 1 3 2 8 2 3 2" xfId="896"/>
    <cellStyle name="20% - akcent 1 3 2 8 2 4" xfId="897"/>
    <cellStyle name="20% - akcent 1 3 2 8 3" xfId="898"/>
    <cellStyle name="20% - akcent 1 3 2 8 3 2" xfId="899"/>
    <cellStyle name="20% - akcent 1 3 2 8 4" xfId="900"/>
    <cellStyle name="20% - akcent 1 3 2 8 4 2" xfId="901"/>
    <cellStyle name="20% - akcent 1 3 2 8 5" xfId="902"/>
    <cellStyle name="20% - akcent 1 3 2 9" xfId="903"/>
    <cellStyle name="20% - akcent 1 3 2 9 2" xfId="904"/>
    <cellStyle name="20% - akcent 1 3 2 9 2 2" xfId="905"/>
    <cellStyle name="20% - akcent 1 3 2 9 2 2 2" xfId="906"/>
    <cellStyle name="20% - akcent 1 3 2 9 2 3" xfId="907"/>
    <cellStyle name="20% - akcent 1 3 2 9 2 3 2" xfId="908"/>
    <cellStyle name="20% - akcent 1 3 2 9 2 4" xfId="909"/>
    <cellStyle name="20% - akcent 1 3 2 9 3" xfId="910"/>
    <cellStyle name="20% - akcent 1 3 2 9 3 2" xfId="911"/>
    <cellStyle name="20% - akcent 1 3 2 9 4" xfId="912"/>
    <cellStyle name="20% - akcent 1 3 2 9 4 2" xfId="913"/>
    <cellStyle name="20% - akcent 1 3 2 9 5" xfId="914"/>
    <cellStyle name="20% - akcent 1 3 3" xfId="915"/>
    <cellStyle name="20% - akcent 1 3 3 10" xfId="916"/>
    <cellStyle name="20% - akcent 1 3 3 10 2" xfId="917"/>
    <cellStyle name="20% - akcent 1 3 3 11" xfId="918"/>
    <cellStyle name="20% - akcent 1 3 3 11 2" xfId="919"/>
    <cellStyle name="20% - akcent 1 3 3 12" xfId="920"/>
    <cellStyle name="20% - akcent 1 3 3 2" xfId="921"/>
    <cellStyle name="20% - akcent 1 3 3 2 10" xfId="922"/>
    <cellStyle name="20% - akcent 1 3 3 2 10 2" xfId="923"/>
    <cellStyle name="20% - akcent 1 3 3 2 11" xfId="924"/>
    <cellStyle name="20% - akcent 1 3 3 2 2" xfId="925"/>
    <cellStyle name="20% - akcent 1 3 3 2 2 2" xfId="926"/>
    <cellStyle name="20% - akcent 1 3 3 2 2 2 2" xfId="927"/>
    <cellStyle name="20% - akcent 1 3 3 2 2 2 2 2" xfId="928"/>
    <cellStyle name="20% - akcent 1 3 3 2 2 2 2 2 2" xfId="929"/>
    <cellStyle name="20% - akcent 1 3 3 2 2 2 2 3" xfId="930"/>
    <cellStyle name="20% - akcent 1 3 3 2 2 2 2 3 2" xfId="931"/>
    <cellStyle name="20% - akcent 1 3 3 2 2 2 2 4" xfId="932"/>
    <cellStyle name="20% - akcent 1 3 3 2 2 2 3" xfId="933"/>
    <cellStyle name="20% - akcent 1 3 3 2 2 2 3 2" xfId="934"/>
    <cellStyle name="20% - akcent 1 3 3 2 2 2 4" xfId="935"/>
    <cellStyle name="20% - akcent 1 3 3 2 2 2 4 2" xfId="936"/>
    <cellStyle name="20% - akcent 1 3 3 2 2 2 5" xfId="937"/>
    <cellStyle name="20% - akcent 1 3 3 2 2 3" xfId="938"/>
    <cellStyle name="20% - akcent 1 3 3 2 2 3 2" xfId="939"/>
    <cellStyle name="20% - akcent 1 3 3 2 2 3 2 2" xfId="940"/>
    <cellStyle name="20% - akcent 1 3 3 2 2 3 2 2 2" xfId="941"/>
    <cellStyle name="20% - akcent 1 3 3 2 2 3 2 3" xfId="942"/>
    <cellStyle name="20% - akcent 1 3 3 2 2 3 2 3 2" xfId="943"/>
    <cellStyle name="20% - akcent 1 3 3 2 2 3 2 4" xfId="944"/>
    <cellStyle name="20% - akcent 1 3 3 2 2 3 3" xfId="945"/>
    <cellStyle name="20% - akcent 1 3 3 2 2 3 3 2" xfId="946"/>
    <cellStyle name="20% - akcent 1 3 3 2 2 3 4" xfId="947"/>
    <cellStyle name="20% - akcent 1 3 3 2 2 3 4 2" xfId="948"/>
    <cellStyle name="20% - akcent 1 3 3 2 2 3 5" xfId="949"/>
    <cellStyle name="20% - akcent 1 3 3 2 2 4" xfId="950"/>
    <cellStyle name="20% - akcent 1 3 3 2 2 4 2" xfId="951"/>
    <cellStyle name="20% - akcent 1 3 3 2 2 4 2 2" xfId="952"/>
    <cellStyle name="20% - akcent 1 3 3 2 2 4 2 2 2" xfId="953"/>
    <cellStyle name="20% - akcent 1 3 3 2 2 4 2 3" xfId="954"/>
    <cellStyle name="20% - akcent 1 3 3 2 2 4 2 3 2" xfId="955"/>
    <cellStyle name="20% - akcent 1 3 3 2 2 4 2 4" xfId="956"/>
    <cellStyle name="20% - akcent 1 3 3 2 2 4 3" xfId="957"/>
    <cellStyle name="20% - akcent 1 3 3 2 2 4 3 2" xfId="958"/>
    <cellStyle name="20% - akcent 1 3 3 2 2 4 4" xfId="959"/>
    <cellStyle name="20% - akcent 1 3 3 2 2 4 4 2" xfId="960"/>
    <cellStyle name="20% - akcent 1 3 3 2 2 4 5" xfId="961"/>
    <cellStyle name="20% - akcent 1 3 3 2 2 5" xfId="962"/>
    <cellStyle name="20% - akcent 1 3 3 2 2 5 2" xfId="963"/>
    <cellStyle name="20% - akcent 1 3 3 2 2 5 2 2" xfId="964"/>
    <cellStyle name="20% - akcent 1 3 3 2 2 5 3" xfId="965"/>
    <cellStyle name="20% - akcent 1 3 3 2 2 5 3 2" xfId="966"/>
    <cellStyle name="20% - akcent 1 3 3 2 2 5 4" xfId="967"/>
    <cellStyle name="20% - akcent 1 3 3 2 2 6" xfId="968"/>
    <cellStyle name="20% - akcent 1 3 3 2 2 6 2" xfId="969"/>
    <cellStyle name="20% - akcent 1 3 3 2 2 7" xfId="970"/>
    <cellStyle name="20% - akcent 1 3 3 2 2 7 2" xfId="971"/>
    <cellStyle name="20% - akcent 1 3 3 2 2 8" xfId="972"/>
    <cellStyle name="20% - akcent 1 3 3 2 3" xfId="973"/>
    <cellStyle name="20% - akcent 1 3 3 2 3 2" xfId="974"/>
    <cellStyle name="20% - akcent 1 3 3 2 3 2 2" xfId="975"/>
    <cellStyle name="20% - akcent 1 3 3 2 3 2 2 2" xfId="976"/>
    <cellStyle name="20% - akcent 1 3 3 2 3 2 2 2 2" xfId="977"/>
    <cellStyle name="20% - akcent 1 3 3 2 3 2 2 3" xfId="978"/>
    <cellStyle name="20% - akcent 1 3 3 2 3 2 2 3 2" xfId="979"/>
    <cellStyle name="20% - akcent 1 3 3 2 3 2 2 4" xfId="980"/>
    <cellStyle name="20% - akcent 1 3 3 2 3 2 3" xfId="981"/>
    <cellStyle name="20% - akcent 1 3 3 2 3 2 3 2" xfId="982"/>
    <cellStyle name="20% - akcent 1 3 3 2 3 2 4" xfId="983"/>
    <cellStyle name="20% - akcent 1 3 3 2 3 2 4 2" xfId="984"/>
    <cellStyle name="20% - akcent 1 3 3 2 3 2 5" xfId="985"/>
    <cellStyle name="20% - akcent 1 3 3 2 3 3" xfId="986"/>
    <cellStyle name="20% - akcent 1 3 3 2 3 3 2" xfId="987"/>
    <cellStyle name="20% - akcent 1 3 3 2 3 3 2 2" xfId="988"/>
    <cellStyle name="20% - akcent 1 3 3 2 3 3 2 2 2" xfId="989"/>
    <cellStyle name="20% - akcent 1 3 3 2 3 3 2 3" xfId="990"/>
    <cellStyle name="20% - akcent 1 3 3 2 3 3 2 3 2" xfId="991"/>
    <cellStyle name="20% - akcent 1 3 3 2 3 3 2 4" xfId="992"/>
    <cellStyle name="20% - akcent 1 3 3 2 3 3 3" xfId="993"/>
    <cellStyle name="20% - akcent 1 3 3 2 3 3 3 2" xfId="994"/>
    <cellStyle name="20% - akcent 1 3 3 2 3 3 4" xfId="995"/>
    <cellStyle name="20% - akcent 1 3 3 2 3 3 4 2" xfId="996"/>
    <cellStyle name="20% - akcent 1 3 3 2 3 3 5" xfId="997"/>
    <cellStyle name="20% - akcent 1 3 3 2 3 4" xfId="998"/>
    <cellStyle name="20% - akcent 1 3 3 2 3 4 2" xfId="999"/>
    <cellStyle name="20% - akcent 1 3 3 2 3 4 2 2" xfId="1000"/>
    <cellStyle name="20% - akcent 1 3 3 2 3 4 2 2 2" xfId="1001"/>
    <cellStyle name="20% - akcent 1 3 3 2 3 4 2 3" xfId="1002"/>
    <cellStyle name="20% - akcent 1 3 3 2 3 4 2 3 2" xfId="1003"/>
    <cellStyle name="20% - akcent 1 3 3 2 3 4 2 4" xfId="1004"/>
    <cellStyle name="20% - akcent 1 3 3 2 3 4 3" xfId="1005"/>
    <cellStyle name="20% - akcent 1 3 3 2 3 4 3 2" xfId="1006"/>
    <cellStyle name="20% - akcent 1 3 3 2 3 4 4" xfId="1007"/>
    <cellStyle name="20% - akcent 1 3 3 2 3 4 4 2" xfId="1008"/>
    <cellStyle name="20% - akcent 1 3 3 2 3 4 5" xfId="1009"/>
    <cellStyle name="20% - akcent 1 3 3 2 3 5" xfId="1010"/>
    <cellStyle name="20% - akcent 1 3 3 2 3 5 2" xfId="1011"/>
    <cellStyle name="20% - akcent 1 3 3 2 3 5 2 2" xfId="1012"/>
    <cellStyle name="20% - akcent 1 3 3 2 3 5 3" xfId="1013"/>
    <cellStyle name="20% - akcent 1 3 3 2 3 5 3 2" xfId="1014"/>
    <cellStyle name="20% - akcent 1 3 3 2 3 5 4" xfId="1015"/>
    <cellStyle name="20% - akcent 1 3 3 2 3 6" xfId="1016"/>
    <cellStyle name="20% - akcent 1 3 3 2 3 6 2" xfId="1017"/>
    <cellStyle name="20% - akcent 1 3 3 2 3 7" xfId="1018"/>
    <cellStyle name="20% - akcent 1 3 3 2 3 7 2" xfId="1019"/>
    <cellStyle name="20% - akcent 1 3 3 2 3 8" xfId="1020"/>
    <cellStyle name="20% - akcent 1 3 3 2 4" xfId="1021"/>
    <cellStyle name="20% - akcent 1 3 3 2 4 2" xfId="1022"/>
    <cellStyle name="20% - akcent 1 3 3 2 4 2 2" xfId="1023"/>
    <cellStyle name="20% - akcent 1 3 3 2 4 2 2 2" xfId="1024"/>
    <cellStyle name="20% - akcent 1 3 3 2 4 2 2 2 2" xfId="1025"/>
    <cellStyle name="20% - akcent 1 3 3 2 4 2 2 3" xfId="1026"/>
    <cellStyle name="20% - akcent 1 3 3 2 4 2 2 3 2" xfId="1027"/>
    <cellStyle name="20% - akcent 1 3 3 2 4 2 2 4" xfId="1028"/>
    <cellStyle name="20% - akcent 1 3 3 2 4 2 3" xfId="1029"/>
    <cellStyle name="20% - akcent 1 3 3 2 4 2 3 2" xfId="1030"/>
    <cellStyle name="20% - akcent 1 3 3 2 4 2 4" xfId="1031"/>
    <cellStyle name="20% - akcent 1 3 3 2 4 2 4 2" xfId="1032"/>
    <cellStyle name="20% - akcent 1 3 3 2 4 2 5" xfId="1033"/>
    <cellStyle name="20% - akcent 1 3 3 2 4 3" xfId="1034"/>
    <cellStyle name="20% - akcent 1 3 3 2 4 3 2" xfId="1035"/>
    <cellStyle name="20% - akcent 1 3 3 2 4 3 2 2" xfId="1036"/>
    <cellStyle name="20% - akcent 1 3 3 2 4 3 3" xfId="1037"/>
    <cellStyle name="20% - akcent 1 3 3 2 4 3 3 2" xfId="1038"/>
    <cellStyle name="20% - akcent 1 3 3 2 4 3 4" xfId="1039"/>
    <cellStyle name="20% - akcent 1 3 3 2 4 4" xfId="1040"/>
    <cellStyle name="20% - akcent 1 3 3 2 4 4 2" xfId="1041"/>
    <cellStyle name="20% - akcent 1 3 3 2 4 5" xfId="1042"/>
    <cellStyle name="20% - akcent 1 3 3 2 4 5 2" xfId="1043"/>
    <cellStyle name="20% - akcent 1 3 3 2 4 6" xfId="1044"/>
    <cellStyle name="20% - akcent 1 3 3 2 5" xfId="1045"/>
    <cellStyle name="20% - akcent 1 3 3 2 5 2" xfId="1046"/>
    <cellStyle name="20% - akcent 1 3 3 2 5 2 2" xfId="1047"/>
    <cellStyle name="20% - akcent 1 3 3 2 5 2 2 2" xfId="1048"/>
    <cellStyle name="20% - akcent 1 3 3 2 5 2 3" xfId="1049"/>
    <cellStyle name="20% - akcent 1 3 3 2 5 2 3 2" xfId="1050"/>
    <cellStyle name="20% - akcent 1 3 3 2 5 2 4" xfId="1051"/>
    <cellStyle name="20% - akcent 1 3 3 2 5 3" xfId="1052"/>
    <cellStyle name="20% - akcent 1 3 3 2 5 3 2" xfId="1053"/>
    <cellStyle name="20% - akcent 1 3 3 2 5 4" xfId="1054"/>
    <cellStyle name="20% - akcent 1 3 3 2 5 4 2" xfId="1055"/>
    <cellStyle name="20% - akcent 1 3 3 2 5 5" xfId="1056"/>
    <cellStyle name="20% - akcent 1 3 3 2 6" xfId="1057"/>
    <cellStyle name="20% - akcent 1 3 3 2 6 2" xfId="1058"/>
    <cellStyle name="20% - akcent 1 3 3 2 6 2 2" xfId="1059"/>
    <cellStyle name="20% - akcent 1 3 3 2 6 2 2 2" xfId="1060"/>
    <cellStyle name="20% - akcent 1 3 3 2 6 2 3" xfId="1061"/>
    <cellStyle name="20% - akcent 1 3 3 2 6 2 3 2" xfId="1062"/>
    <cellStyle name="20% - akcent 1 3 3 2 6 2 4" xfId="1063"/>
    <cellStyle name="20% - akcent 1 3 3 2 6 3" xfId="1064"/>
    <cellStyle name="20% - akcent 1 3 3 2 6 3 2" xfId="1065"/>
    <cellStyle name="20% - akcent 1 3 3 2 6 4" xfId="1066"/>
    <cellStyle name="20% - akcent 1 3 3 2 6 4 2" xfId="1067"/>
    <cellStyle name="20% - akcent 1 3 3 2 6 5" xfId="1068"/>
    <cellStyle name="20% - akcent 1 3 3 2 7" xfId="1069"/>
    <cellStyle name="20% - akcent 1 3 3 2 7 2" xfId="1070"/>
    <cellStyle name="20% - akcent 1 3 3 2 7 2 2" xfId="1071"/>
    <cellStyle name="20% - akcent 1 3 3 2 7 2 2 2" xfId="1072"/>
    <cellStyle name="20% - akcent 1 3 3 2 7 2 3" xfId="1073"/>
    <cellStyle name="20% - akcent 1 3 3 2 7 2 3 2" xfId="1074"/>
    <cellStyle name="20% - akcent 1 3 3 2 7 2 4" xfId="1075"/>
    <cellStyle name="20% - akcent 1 3 3 2 7 3" xfId="1076"/>
    <cellStyle name="20% - akcent 1 3 3 2 7 3 2" xfId="1077"/>
    <cellStyle name="20% - akcent 1 3 3 2 7 4" xfId="1078"/>
    <cellStyle name="20% - akcent 1 3 3 2 7 4 2" xfId="1079"/>
    <cellStyle name="20% - akcent 1 3 3 2 7 5" xfId="1080"/>
    <cellStyle name="20% - akcent 1 3 3 2 8" xfId="1081"/>
    <cellStyle name="20% - akcent 1 3 3 2 8 2" xfId="1082"/>
    <cellStyle name="20% - akcent 1 3 3 2 8 2 2" xfId="1083"/>
    <cellStyle name="20% - akcent 1 3 3 2 8 3" xfId="1084"/>
    <cellStyle name="20% - akcent 1 3 3 2 8 3 2" xfId="1085"/>
    <cellStyle name="20% - akcent 1 3 3 2 8 4" xfId="1086"/>
    <cellStyle name="20% - akcent 1 3 3 2 9" xfId="1087"/>
    <cellStyle name="20% - akcent 1 3 3 2 9 2" xfId="1088"/>
    <cellStyle name="20% - akcent 1 3 3 3" xfId="1089"/>
    <cellStyle name="20% - akcent 1 3 3 3 2" xfId="1090"/>
    <cellStyle name="20% - akcent 1 3 3 3 2 2" xfId="1091"/>
    <cellStyle name="20% - akcent 1 3 3 3 2 2 2" xfId="1092"/>
    <cellStyle name="20% - akcent 1 3 3 3 2 2 2 2" xfId="1093"/>
    <cellStyle name="20% - akcent 1 3 3 3 2 2 3" xfId="1094"/>
    <cellStyle name="20% - akcent 1 3 3 3 2 2 3 2" xfId="1095"/>
    <cellStyle name="20% - akcent 1 3 3 3 2 2 4" xfId="1096"/>
    <cellStyle name="20% - akcent 1 3 3 3 2 3" xfId="1097"/>
    <cellStyle name="20% - akcent 1 3 3 3 2 3 2" xfId="1098"/>
    <cellStyle name="20% - akcent 1 3 3 3 2 4" xfId="1099"/>
    <cellStyle name="20% - akcent 1 3 3 3 2 4 2" xfId="1100"/>
    <cellStyle name="20% - akcent 1 3 3 3 2 5" xfId="1101"/>
    <cellStyle name="20% - akcent 1 3 3 3 3" xfId="1102"/>
    <cellStyle name="20% - akcent 1 3 3 3 3 2" xfId="1103"/>
    <cellStyle name="20% - akcent 1 3 3 3 3 2 2" xfId="1104"/>
    <cellStyle name="20% - akcent 1 3 3 3 3 2 2 2" xfId="1105"/>
    <cellStyle name="20% - akcent 1 3 3 3 3 2 3" xfId="1106"/>
    <cellStyle name="20% - akcent 1 3 3 3 3 2 3 2" xfId="1107"/>
    <cellStyle name="20% - akcent 1 3 3 3 3 2 4" xfId="1108"/>
    <cellStyle name="20% - akcent 1 3 3 3 3 3" xfId="1109"/>
    <cellStyle name="20% - akcent 1 3 3 3 3 3 2" xfId="1110"/>
    <cellStyle name="20% - akcent 1 3 3 3 3 4" xfId="1111"/>
    <cellStyle name="20% - akcent 1 3 3 3 3 4 2" xfId="1112"/>
    <cellStyle name="20% - akcent 1 3 3 3 3 5" xfId="1113"/>
    <cellStyle name="20% - akcent 1 3 3 3 4" xfId="1114"/>
    <cellStyle name="20% - akcent 1 3 3 3 4 2" xfId="1115"/>
    <cellStyle name="20% - akcent 1 3 3 3 4 2 2" xfId="1116"/>
    <cellStyle name="20% - akcent 1 3 3 3 4 2 2 2" xfId="1117"/>
    <cellStyle name="20% - akcent 1 3 3 3 4 2 3" xfId="1118"/>
    <cellStyle name="20% - akcent 1 3 3 3 4 2 3 2" xfId="1119"/>
    <cellStyle name="20% - akcent 1 3 3 3 4 2 4" xfId="1120"/>
    <cellStyle name="20% - akcent 1 3 3 3 4 3" xfId="1121"/>
    <cellStyle name="20% - akcent 1 3 3 3 4 3 2" xfId="1122"/>
    <cellStyle name="20% - akcent 1 3 3 3 4 4" xfId="1123"/>
    <cellStyle name="20% - akcent 1 3 3 3 4 4 2" xfId="1124"/>
    <cellStyle name="20% - akcent 1 3 3 3 4 5" xfId="1125"/>
    <cellStyle name="20% - akcent 1 3 3 3 5" xfId="1126"/>
    <cellStyle name="20% - akcent 1 3 3 3 5 2" xfId="1127"/>
    <cellStyle name="20% - akcent 1 3 3 3 5 2 2" xfId="1128"/>
    <cellStyle name="20% - akcent 1 3 3 3 5 3" xfId="1129"/>
    <cellStyle name="20% - akcent 1 3 3 3 5 3 2" xfId="1130"/>
    <cellStyle name="20% - akcent 1 3 3 3 5 4" xfId="1131"/>
    <cellStyle name="20% - akcent 1 3 3 3 6" xfId="1132"/>
    <cellStyle name="20% - akcent 1 3 3 3 6 2" xfId="1133"/>
    <cellStyle name="20% - akcent 1 3 3 3 7" xfId="1134"/>
    <cellStyle name="20% - akcent 1 3 3 3 7 2" xfId="1135"/>
    <cellStyle name="20% - akcent 1 3 3 3 8" xfId="1136"/>
    <cellStyle name="20% - akcent 1 3 3 4" xfId="1137"/>
    <cellStyle name="20% - akcent 1 3 3 4 2" xfId="1138"/>
    <cellStyle name="20% - akcent 1 3 3 4 2 2" xfId="1139"/>
    <cellStyle name="20% - akcent 1 3 3 4 2 2 2" xfId="1140"/>
    <cellStyle name="20% - akcent 1 3 3 4 2 2 2 2" xfId="1141"/>
    <cellStyle name="20% - akcent 1 3 3 4 2 2 3" xfId="1142"/>
    <cellStyle name="20% - akcent 1 3 3 4 2 2 3 2" xfId="1143"/>
    <cellStyle name="20% - akcent 1 3 3 4 2 2 4" xfId="1144"/>
    <cellStyle name="20% - akcent 1 3 3 4 2 3" xfId="1145"/>
    <cellStyle name="20% - akcent 1 3 3 4 2 3 2" xfId="1146"/>
    <cellStyle name="20% - akcent 1 3 3 4 2 4" xfId="1147"/>
    <cellStyle name="20% - akcent 1 3 3 4 2 4 2" xfId="1148"/>
    <cellStyle name="20% - akcent 1 3 3 4 2 5" xfId="1149"/>
    <cellStyle name="20% - akcent 1 3 3 4 3" xfId="1150"/>
    <cellStyle name="20% - akcent 1 3 3 4 3 2" xfId="1151"/>
    <cellStyle name="20% - akcent 1 3 3 4 3 2 2" xfId="1152"/>
    <cellStyle name="20% - akcent 1 3 3 4 3 2 2 2" xfId="1153"/>
    <cellStyle name="20% - akcent 1 3 3 4 3 2 3" xfId="1154"/>
    <cellStyle name="20% - akcent 1 3 3 4 3 2 3 2" xfId="1155"/>
    <cellStyle name="20% - akcent 1 3 3 4 3 2 4" xfId="1156"/>
    <cellStyle name="20% - akcent 1 3 3 4 3 3" xfId="1157"/>
    <cellStyle name="20% - akcent 1 3 3 4 3 3 2" xfId="1158"/>
    <cellStyle name="20% - akcent 1 3 3 4 3 4" xfId="1159"/>
    <cellStyle name="20% - akcent 1 3 3 4 3 4 2" xfId="1160"/>
    <cellStyle name="20% - akcent 1 3 3 4 3 5" xfId="1161"/>
    <cellStyle name="20% - akcent 1 3 3 4 4" xfId="1162"/>
    <cellStyle name="20% - akcent 1 3 3 4 4 2" xfId="1163"/>
    <cellStyle name="20% - akcent 1 3 3 4 4 2 2" xfId="1164"/>
    <cellStyle name="20% - akcent 1 3 3 4 4 2 2 2" xfId="1165"/>
    <cellStyle name="20% - akcent 1 3 3 4 4 2 3" xfId="1166"/>
    <cellStyle name="20% - akcent 1 3 3 4 4 2 3 2" xfId="1167"/>
    <cellStyle name="20% - akcent 1 3 3 4 4 2 4" xfId="1168"/>
    <cellStyle name="20% - akcent 1 3 3 4 4 3" xfId="1169"/>
    <cellStyle name="20% - akcent 1 3 3 4 4 3 2" xfId="1170"/>
    <cellStyle name="20% - akcent 1 3 3 4 4 4" xfId="1171"/>
    <cellStyle name="20% - akcent 1 3 3 4 4 4 2" xfId="1172"/>
    <cellStyle name="20% - akcent 1 3 3 4 4 5" xfId="1173"/>
    <cellStyle name="20% - akcent 1 3 3 4 5" xfId="1174"/>
    <cellStyle name="20% - akcent 1 3 3 4 5 2" xfId="1175"/>
    <cellStyle name="20% - akcent 1 3 3 4 5 2 2" xfId="1176"/>
    <cellStyle name="20% - akcent 1 3 3 4 5 3" xfId="1177"/>
    <cellStyle name="20% - akcent 1 3 3 4 5 3 2" xfId="1178"/>
    <cellStyle name="20% - akcent 1 3 3 4 5 4" xfId="1179"/>
    <cellStyle name="20% - akcent 1 3 3 4 6" xfId="1180"/>
    <cellStyle name="20% - akcent 1 3 3 4 6 2" xfId="1181"/>
    <cellStyle name="20% - akcent 1 3 3 4 7" xfId="1182"/>
    <cellStyle name="20% - akcent 1 3 3 4 7 2" xfId="1183"/>
    <cellStyle name="20% - akcent 1 3 3 4 8" xfId="1184"/>
    <cellStyle name="20% - akcent 1 3 3 5" xfId="1185"/>
    <cellStyle name="20% - akcent 1 3 3 5 2" xfId="1186"/>
    <cellStyle name="20% - akcent 1 3 3 5 2 2" xfId="1187"/>
    <cellStyle name="20% - akcent 1 3 3 5 2 2 2" xfId="1188"/>
    <cellStyle name="20% - akcent 1 3 3 5 2 2 2 2" xfId="1189"/>
    <cellStyle name="20% - akcent 1 3 3 5 2 2 3" xfId="1190"/>
    <cellStyle name="20% - akcent 1 3 3 5 2 2 3 2" xfId="1191"/>
    <cellStyle name="20% - akcent 1 3 3 5 2 2 4" xfId="1192"/>
    <cellStyle name="20% - akcent 1 3 3 5 2 3" xfId="1193"/>
    <cellStyle name="20% - akcent 1 3 3 5 2 3 2" xfId="1194"/>
    <cellStyle name="20% - akcent 1 3 3 5 2 4" xfId="1195"/>
    <cellStyle name="20% - akcent 1 3 3 5 2 4 2" xfId="1196"/>
    <cellStyle name="20% - akcent 1 3 3 5 2 5" xfId="1197"/>
    <cellStyle name="20% - akcent 1 3 3 5 3" xfId="1198"/>
    <cellStyle name="20% - akcent 1 3 3 5 3 2" xfId="1199"/>
    <cellStyle name="20% - akcent 1 3 3 5 3 2 2" xfId="1200"/>
    <cellStyle name="20% - akcent 1 3 3 5 3 3" xfId="1201"/>
    <cellStyle name="20% - akcent 1 3 3 5 3 3 2" xfId="1202"/>
    <cellStyle name="20% - akcent 1 3 3 5 3 4" xfId="1203"/>
    <cellStyle name="20% - akcent 1 3 3 5 4" xfId="1204"/>
    <cellStyle name="20% - akcent 1 3 3 5 4 2" xfId="1205"/>
    <cellStyle name="20% - akcent 1 3 3 5 5" xfId="1206"/>
    <cellStyle name="20% - akcent 1 3 3 5 5 2" xfId="1207"/>
    <cellStyle name="20% - akcent 1 3 3 5 6" xfId="1208"/>
    <cellStyle name="20% - akcent 1 3 3 6" xfId="1209"/>
    <cellStyle name="20% - akcent 1 3 3 6 2" xfId="1210"/>
    <cellStyle name="20% - akcent 1 3 3 6 2 2" xfId="1211"/>
    <cellStyle name="20% - akcent 1 3 3 6 2 2 2" xfId="1212"/>
    <cellStyle name="20% - akcent 1 3 3 6 2 3" xfId="1213"/>
    <cellStyle name="20% - akcent 1 3 3 6 2 3 2" xfId="1214"/>
    <cellStyle name="20% - akcent 1 3 3 6 2 4" xfId="1215"/>
    <cellStyle name="20% - akcent 1 3 3 6 3" xfId="1216"/>
    <cellStyle name="20% - akcent 1 3 3 6 3 2" xfId="1217"/>
    <cellStyle name="20% - akcent 1 3 3 6 4" xfId="1218"/>
    <cellStyle name="20% - akcent 1 3 3 6 4 2" xfId="1219"/>
    <cellStyle name="20% - akcent 1 3 3 6 5" xfId="1220"/>
    <cellStyle name="20% - akcent 1 3 3 7" xfId="1221"/>
    <cellStyle name="20% - akcent 1 3 3 7 2" xfId="1222"/>
    <cellStyle name="20% - akcent 1 3 3 7 2 2" xfId="1223"/>
    <cellStyle name="20% - akcent 1 3 3 7 2 2 2" xfId="1224"/>
    <cellStyle name="20% - akcent 1 3 3 7 2 3" xfId="1225"/>
    <cellStyle name="20% - akcent 1 3 3 7 2 3 2" xfId="1226"/>
    <cellStyle name="20% - akcent 1 3 3 7 2 4" xfId="1227"/>
    <cellStyle name="20% - akcent 1 3 3 7 3" xfId="1228"/>
    <cellStyle name="20% - akcent 1 3 3 7 3 2" xfId="1229"/>
    <cellStyle name="20% - akcent 1 3 3 7 4" xfId="1230"/>
    <cellStyle name="20% - akcent 1 3 3 7 4 2" xfId="1231"/>
    <cellStyle name="20% - akcent 1 3 3 7 5" xfId="1232"/>
    <cellStyle name="20% - akcent 1 3 3 8" xfId="1233"/>
    <cellStyle name="20% - akcent 1 3 3 8 2" xfId="1234"/>
    <cellStyle name="20% - akcent 1 3 3 8 2 2" xfId="1235"/>
    <cellStyle name="20% - akcent 1 3 3 8 2 2 2" xfId="1236"/>
    <cellStyle name="20% - akcent 1 3 3 8 2 3" xfId="1237"/>
    <cellStyle name="20% - akcent 1 3 3 8 2 3 2" xfId="1238"/>
    <cellStyle name="20% - akcent 1 3 3 8 2 4" xfId="1239"/>
    <cellStyle name="20% - akcent 1 3 3 8 3" xfId="1240"/>
    <cellStyle name="20% - akcent 1 3 3 8 3 2" xfId="1241"/>
    <cellStyle name="20% - akcent 1 3 3 8 4" xfId="1242"/>
    <cellStyle name="20% - akcent 1 3 3 8 4 2" xfId="1243"/>
    <cellStyle name="20% - akcent 1 3 3 8 5" xfId="1244"/>
    <cellStyle name="20% - akcent 1 3 3 9" xfId="1245"/>
    <cellStyle name="20% - akcent 1 3 3 9 2" xfId="1246"/>
    <cellStyle name="20% - akcent 1 3 3 9 2 2" xfId="1247"/>
    <cellStyle name="20% - akcent 1 3 3 9 3" xfId="1248"/>
    <cellStyle name="20% - akcent 1 3 3 9 3 2" xfId="1249"/>
    <cellStyle name="20% - akcent 1 3 3 9 4" xfId="1250"/>
    <cellStyle name="20% - akcent 1 3 4" xfId="1251"/>
    <cellStyle name="20% - akcent 1 3 4 10" xfId="1252"/>
    <cellStyle name="20% - akcent 1 3 4 10 2" xfId="1253"/>
    <cellStyle name="20% - akcent 1 3 4 11" xfId="1254"/>
    <cellStyle name="20% - akcent 1 3 4 2" xfId="1255"/>
    <cellStyle name="20% - akcent 1 3 4 2 2" xfId="1256"/>
    <cellStyle name="20% - akcent 1 3 4 2 2 2" xfId="1257"/>
    <cellStyle name="20% - akcent 1 3 4 2 2 2 2" xfId="1258"/>
    <cellStyle name="20% - akcent 1 3 4 2 2 2 2 2" xfId="1259"/>
    <cellStyle name="20% - akcent 1 3 4 2 2 2 3" xfId="1260"/>
    <cellStyle name="20% - akcent 1 3 4 2 2 2 3 2" xfId="1261"/>
    <cellStyle name="20% - akcent 1 3 4 2 2 2 4" xfId="1262"/>
    <cellStyle name="20% - akcent 1 3 4 2 2 3" xfId="1263"/>
    <cellStyle name="20% - akcent 1 3 4 2 2 3 2" xfId="1264"/>
    <cellStyle name="20% - akcent 1 3 4 2 2 4" xfId="1265"/>
    <cellStyle name="20% - akcent 1 3 4 2 2 4 2" xfId="1266"/>
    <cellStyle name="20% - akcent 1 3 4 2 2 5" xfId="1267"/>
    <cellStyle name="20% - akcent 1 3 4 2 3" xfId="1268"/>
    <cellStyle name="20% - akcent 1 3 4 2 3 2" xfId="1269"/>
    <cellStyle name="20% - akcent 1 3 4 2 3 2 2" xfId="1270"/>
    <cellStyle name="20% - akcent 1 3 4 2 3 2 2 2" xfId="1271"/>
    <cellStyle name="20% - akcent 1 3 4 2 3 2 3" xfId="1272"/>
    <cellStyle name="20% - akcent 1 3 4 2 3 2 3 2" xfId="1273"/>
    <cellStyle name="20% - akcent 1 3 4 2 3 2 4" xfId="1274"/>
    <cellStyle name="20% - akcent 1 3 4 2 3 3" xfId="1275"/>
    <cellStyle name="20% - akcent 1 3 4 2 3 3 2" xfId="1276"/>
    <cellStyle name="20% - akcent 1 3 4 2 3 4" xfId="1277"/>
    <cellStyle name="20% - akcent 1 3 4 2 3 4 2" xfId="1278"/>
    <cellStyle name="20% - akcent 1 3 4 2 3 5" xfId="1279"/>
    <cellStyle name="20% - akcent 1 3 4 2 4" xfId="1280"/>
    <cellStyle name="20% - akcent 1 3 4 2 4 2" xfId="1281"/>
    <cellStyle name="20% - akcent 1 3 4 2 4 2 2" xfId="1282"/>
    <cellStyle name="20% - akcent 1 3 4 2 4 2 2 2" xfId="1283"/>
    <cellStyle name="20% - akcent 1 3 4 2 4 2 3" xfId="1284"/>
    <cellStyle name="20% - akcent 1 3 4 2 4 2 3 2" xfId="1285"/>
    <cellStyle name="20% - akcent 1 3 4 2 4 2 4" xfId="1286"/>
    <cellStyle name="20% - akcent 1 3 4 2 4 3" xfId="1287"/>
    <cellStyle name="20% - akcent 1 3 4 2 4 3 2" xfId="1288"/>
    <cellStyle name="20% - akcent 1 3 4 2 4 4" xfId="1289"/>
    <cellStyle name="20% - akcent 1 3 4 2 4 4 2" xfId="1290"/>
    <cellStyle name="20% - akcent 1 3 4 2 4 5" xfId="1291"/>
    <cellStyle name="20% - akcent 1 3 4 2 5" xfId="1292"/>
    <cellStyle name="20% - akcent 1 3 4 2 5 2" xfId="1293"/>
    <cellStyle name="20% - akcent 1 3 4 2 5 2 2" xfId="1294"/>
    <cellStyle name="20% - akcent 1 3 4 2 5 3" xfId="1295"/>
    <cellStyle name="20% - akcent 1 3 4 2 5 3 2" xfId="1296"/>
    <cellStyle name="20% - akcent 1 3 4 2 5 4" xfId="1297"/>
    <cellStyle name="20% - akcent 1 3 4 2 6" xfId="1298"/>
    <cellStyle name="20% - akcent 1 3 4 2 6 2" xfId="1299"/>
    <cellStyle name="20% - akcent 1 3 4 2 7" xfId="1300"/>
    <cellStyle name="20% - akcent 1 3 4 2 7 2" xfId="1301"/>
    <cellStyle name="20% - akcent 1 3 4 2 8" xfId="1302"/>
    <cellStyle name="20% - akcent 1 3 4 3" xfId="1303"/>
    <cellStyle name="20% - akcent 1 3 4 3 2" xfId="1304"/>
    <cellStyle name="20% - akcent 1 3 4 3 2 2" xfId="1305"/>
    <cellStyle name="20% - akcent 1 3 4 3 2 2 2" xfId="1306"/>
    <cellStyle name="20% - akcent 1 3 4 3 2 2 2 2" xfId="1307"/>
    <cellStyle name="20% - akcent 1 3 4 3 2 2 3" xfId="1308"/>
    <cellStyle name="20% - akcent 1 3 4 3 2 2 3 2" xfId="1309"/>
    <cellStyle name="20% - akcent 1 3 4 3 2 2 4" xfId="1310"/>
    <cellStyle name="20% - akcent 1 3 4 3 2 3" xfId="1311"/>
    <cellStyle name="20% - akcent 1 3 4 3 2 3 2" xfId="1312"/>
    <cellStyle name="20% - akcent 1 3 4 3 2 4" xfId="1313"/>
    <cellStyle name="20% - akcent 1 3 4 3 2 4 2" xfId="1314"/>
    <cellStyle name="20% - akcent 1 3 4 3 2 5" xfId="1315"/>
    <cellStyle name="20% - akcent 1 3 4 3 3" xfId="1316"/>
    <cellStyle name="20% - akcent 1 3 4 3 3 2" xfId="1317"/>
    <cellStyle name="20% - akcent 1 3 4 3 3 2 2" xfId="1318"/>
    <cellStyle name="20% - akcent 1 3 4 3 3 2 2 2" xfId="1319"/>
    <cellStyle name="20% - akcent 1 3 4 3 3 2 3" xfId="1320"/>
    <cellStyle name="20% - akcent 1 3 4 3 3 2 3 2" xfId="1321"/>
    <cellStyle name="20% - akcent 1 3 4 3 3 2 4" xfId="1322"/>
    <cellStyle name="20% - akcent 1 3 4 3 3 3" xfId="1323"/>
    <cellStyle name="20% - akcent 1 3 4 3 3 3 2" xfId="1324"/>
    <cellStyle name="20% - akcent 1 3 4 3 3 4" xfId="1325"/>
    <cellStyle name="20% - akcent 1 3 4 3 3 4 2" xfId="1326"/>
    <cellStyle name="20% - akcent 1 3 4 3 3 5" xfId="1327"/>
    <cellStyle name="20% - akcent 1 3 4 3 4" xfId="1328"/>
    <cellStyle name="20% - akcent 1 3 4 3 4 2" xfId="1329"/>
    <cellStyle name="20% - akcent 1 3 4 3 4 2 2" xfId="1330"/>
    <cellStyle name="20% - akcent 1 3 4 3 4 2 2 2" xfId="1331"/>
    <cellStyle name="20% - akcent 1 3 4 3 4 2 3" xfId="1332"/>
    <cellStyle name="20% - akcent 1 3 4 3 4 2 3 2" xfId="1333"/>
    <cellStyle name="20% - akcent 1 3 4 3 4 2 4" xfId="1334"/>
    <cellStyle name="20% - akcent 1 3 4 3 4 3" xfId="1335"/>
    <cellStyle name="20% - akcent 1 3 4 3 4 3 2" xfId="1336"/>
    <cellStyle name="20% - akcent 1 3 4 3 4 4" xfId="1337"/>
    <cellStyle name="20% - akcent 1 3 4 3 4 4 2" xfId="1338"/>
    <cellStyle name="20% - akcent 1 3 4 3 4 5" xfId="1339"/>
    <cellStyle name="20% - akcent 1 3 4 3 5" xfId="1340"/>
    <cellStyle name="20% - akcent 1 3 4 3 5 2" xfId="1341"/>
    <cellStyle name="20% - akcent 1 3 4 3 5 2 2" xfId="1342"/>
    <cellStyle name="20% - akcent 1 3 4 3 5 3" xfId="1343"/>
    <cellStyle name="20% - akcent 1 3 4 3 5 3 2" xfId="1344"/>
    <cellStyle name="20% - akcent 1 3 4 3 5 4" xfId="1345"/>
    <cellStyle name="20% - akcent 1 3 4 3 6" xfId="1346"/>
    <cellStyle name="20% - akcent 1 3 4 3 6 2" xfId="1347"/>
    <cellStyle name="20% - akcent 1 3 4 3 7" xfId="1348"/>
    <cellStyle name="20% - akcent 1 3 4 3 7 2" xfId="1349"/>
    <cellStyle name="20% - akcent 1 3 4 3 8" xfId="1350"/>
    <cellStyle name="20% - akcent 1 3 4 4" xfId="1351"/>
    <cellStyle name="20% - akcent 1 3 4 4 2" xfId="1352"/>
    <cellStyle name="20% - akcent 1 3 4 4 2 2" xfId="1353"/>
    <cellStyle name="20% - akcent 1 3 4 4 2 2 2" xfId="1354"/>
    <cellStyle name="20% - akcent 1 3 4 4 2 2 2 2" xfId="1355"/>
    <cellStyle name="20% - akcent 1 3 4 4 2 2 3" xfId="1356"/>
    <cellStyle name="20% - akcent 1 3 4 4 2 2 3 2" xfId="1357"/>
    <cellStyle name="20% - akcent 1 3 4 4 2 2 4" xfId="1358"/>
    <cellStyle name="20% - akcent 1 3 4 4 2 3" xfId="1359"/>
    <cellStyle name="20% - akcent 1 3 4 4 2 3 2" xfId="1360"/>
    <cellStyle name="20% - akcent 1 3 4 4 2 4" xfId="1361"/>
    <cellStyle name="20% - akcent 1 3 4 4 2 4 2" xfId="1362"/>
    <cellStyle name="20% - akcent 1 3 4 4 2 5" xfId="1363"/>
    <cellStyle name="20% - akcent 1 3 4 4 3" xfId="1364"/>
    <cellStyle name="20% - akcent 1 3 4 4 3 2" xfId="1365"/>
    <cellStyle name="20% - akcent 1 3 4 4 3 2 2" xfId="1366"/>
    <cellStyle name="20% - akcent 1 3 4 4 3 3" xfId="1367"/>
    <cellStyle name="20% - akcent 1 3 4 4 3 3 2" xfId="1368"/>
    <cellStyle name="20% - akcent 1 3 4 4 3 4" xfId="1369"/>
    <cellStyle name="20% - akcent 1 3 4 4 4" xfId="1370"/>
    <cellStyle name="20% - akcent 1 3 4 4 4 2" xfId="1371"/>
    <cellStyle name="20% - akcent 1 3 4 4 5" xfId="1372"/>
    <cellStyle name="20% - akcent 1 3 4 4 5 2" xfId="1373"/>
    <cellStyle name="20% - akcent 1 3 4 4 6" xfId="1374"/>
    <cellStyle name="20% - akcent 1 3 4 5" xfId="1375"/>
    <cellStyle name="20% - akcent 1 3 4 5 2" xfId="1376"/>
    <cellStyle name="20% - akcent 1 3 4 5 2 2" xfId="1377"/>
    <cellStyle name="20% - akcent 1 3 4 5 2 2 2" xfId="1378"/>
    <cellStyle name="20% - akcent 1 3 4 5 2 3" xfId="1379"/>
    <cellStyle name="20% - akcent 1 3 4 5 2 3 2" xfId="1380"/>
    <cellStyle name="20% - akcent 1 3 4 5 2 4" xfId="1381"/>
    <cellStyle name="20% - akcent 1 3 4 5 3" xfId="1382"/>
    <cellStyle name="20% - akcent 1 3 4 5 3 2" xfId="1383"/>
    <cellStyle name="20% - akcent 1 3 4 5 4" xfId="1384"/>
    <cellStyle name="20% - akcent 1 3 4 5 4 2" xfId="1385"/>
    <cellStyle name="20% - akcent 1 3 4 5 5" xfId="1386"/>
    <cellStyle name="20% - akcent 1 3 4 6" xfId="1387"/>
    <cellStyle name="20% - akcent 1 3 4 6 2" xfId="1388"/>
    <cellStyle name="20% - akcent 1 3 4 6 2 2" xfId="1389"/>
    <cellStyle name="20% - akcent 1 3 4 6 2 2 2" xfId="1390"/>
    <cellStyle name="20% - akcent 1 3 4 6 2 3" xfId="1391"/>
    <cellStyle name="20% - akcent 1 3 4 6 2 3 2" xfId="1392"/>
    <cellStyle name="20% - akcent 1 3 4 6 2 4" xfId="1393"/>
    <cellStyle name="20% - akcent 1 3 4 6 3" xfId="1394"/>
    <cellStyle name="20% - akcent 1 3 4 6 3 2" xfId="1395"/>
    <cellStyle name="20% - akcent 1 3 4 6 4" xfId="1396"/>
    <cellStyle name="20% - akcent 1 3 4 6 4 2" xfId="1397"/>
    <cellStyle name="20% - akcent 1 3 4 6 5" xfId="1398"/>
    <cellStyle name="20% - akcent 1 3 4 7" xfId="1399"/>
    <cellStyle name="20% - akcent 1 3 4 7 2" xfId="1400"/>
    <cellStyle name="20% - akcent 1 3 4 7 2 2" xfId="1401"/>
    <cellStyle name="20% - akcent 1 3 4 7 2 2 2" xfId="1402"/>
    <cellStyle name="20% - akcent 1 3 4 7 2 3" xfId="1403"/>
    <cellStyle name="20% - akcent 1 3 4 7 2 3 2" xfId="1404"/>
    <cellStyle name="20% - akcent 1 3 4 7 2 4" xfId="1405"/>
    <cellStyle name="20% - akcent 1 3 4 7 3" xfId="1406"/>
    <cellStyle name="20% - akcent 1 3 4 7 3 2" xfId="1407"/>
    <cellStyle name="20% - akcent 1 3 4 7 4" xfId="1408"/>
    <cellStyle name="20% - akcent 1 3 4 7 4 2" xfId="1409"/>
    <cellStyle name="20% - akcent 1 3 4 7 5" xfId="1410"/>
    <cellStyle name="20% - akcent 1 3 4 8" xfId="1411"/>
    <cellStyle name="20% - akcent 1 3 4 8 2" xfId="1412"/>
    <cellStyle name="20% - akcent 1 3 4 8 2 2" xfId="1413"/>
    <cellStyle name="20% - akcent 1 3 4 8 3" xfId="1414"/>
    <cellStyle name="20% - akcent 1 3 4 8 3 2" xfId="1415"/>
    <cellStyle name="20% - akcent 1 3 4 8 4" xfId="1416"/>
    <cellStyle name="20% - akcent 1 3 4 9" xfId="1417"/>
    <cellStyle name="20% - akcent 1 3 4 9 2" xfId="1418"/>
    <cellStyle name="20% - akcent 1 3 5" xfId="1419"/>
    <cellStyle name="20% - akcent 1 3 5 10" xfId="1420"/>
    <cellStyle name="20% - akcent 1 3 5 2" xfId="1421"/>
    <cellStyle name="20% - akcent 1 3 5 2 2" xfId="1422"/>
    <cellStyle name="20% - akcent 1 3 5 2 2 2" xfId="1423"/>
    <cellStyle name="20% - akcent 1 3 5 2 2 2 2" xfId="1424"/>
    <cellStyle name="20% - akcent 1 3 5 2 2 2 2 2" xfId="1425"/>
    <cellStyle name="20% - akcent 1 3 5 2 2 2 3" xfId="1426"/>
    <cellStyle name="20% - akcent 1 3 5 2 2 2 3 2" xfId="1427"/>
    <cellStyle name="20% - akcent 1 3 5 2 2 2 4" xfId="1428"/>
    <cellStyle name="20% - akcent 1 3 5 2 2 3" xfId="1429"/>
    <cellStyle name="20% - akcent 1 3 5 2 2 3 2" xfId="1430"/>
    <cellStyle name="20% - akcent 1 3 5 2 2 4" xfId="1431"/>
    <cellStyle name="20% - akcent 1 3 5 2 2 4 2" xfId="1432"/>
    <cellStyle name="20% - akcent 1 3 5 2 2 5" xfId="1433"/>
    <cellStyle name="20% - akcent 1 3 5 2 3" xfId="1434"/>
    <cellStyle name="20% - akcent 1 3 5 2 3 2" xfId="1435"/>
    <cellStyle name="20% - akcent 1 3 5 2 3 2 2" xfId="1436"/>
    <cellStyle name="20% - akcent 1 3 5 2 3 2 2 2" xfId="1437"/>
    <cellStyle name="20% - akcent 1 3 5 2 3 2 3" xfId="1438"/>
    <cellStyle name="20% - akcent 1 3 5 2 3 2 3 2" xfId="1439"/>
    <cellStyle name="20% - akcent 1 3 5 2 3 2 4" xfId="1440"/>
    <cellStyle name="20% - akcent 1 3 5 2 3 3" xfId="1441"/>
    <cellStyle name="20% - akcent 1 3 5 2 3 3 2" xfId="1442"/>
    <cellStyle name="20% - akcent 1 3 5 2 3 4" xfId="1443"/>
    <cellStyle name="20% - akcent 1 3 5 2 3 4 2" xfId="1444"/>
    <cellStyle name="20% - akcent 1 3 5 2 3 5" xfId="1445"/>
    <cellStyle name="20% - akcent 1 3 5 2 4" xfId="1446"/>
    <cellStyle name="20% - akcent 1 3 5 2 4 2" xfId="1447"/>
    <cellStyle name="20% - akcent 1 3 5 2 4 2 2" xfId="1448"/>
    <cellStyle name="20% - akcent 1 3 5 2 4 2 2 2" xfId="1449"/>
    <cellStyle name="20% - akcent 1 3 5 2 4 2 3" xfId="1450"/>
    <cellStyle name="20% - akcent 1 3 5 2 4 2 3 2" xfId="1451"/>
    <cellStyle name="20% - akcent 1 3 5 2 4 2 4" xfId="1452"/>
    <cellStyle name="20% - akcent 1 3 5 2 4 3" xfId="1453"/>
    <cellStyle name="20% - akcent 1 3 5 2 4 3 2" xfId="1454"/>
    <cellStyle name="20% - akcent 1 3 5 2 4 4" xfId="1455"/>
    <cellStyle name="20% - akcent 1 3 5 2 4 4 2" xfId="1456"/>
    <cellStyle name="20% - akcent 1 3 5 2 4 5" xfId="1457"/>
    <cellStyle name="20% - akcent 1 3 5 2 5" xfId="1458"/>
    <cellStyle name="20% - akcent 1 3 5 2 5 2" xfId="1459"/>
    <cellStyle name="20% - akcent 1 3 5 2 5 2 2" xfId="1460"/>
    <cellStyle name="20% - akcent 1 3 5 2 5 3" xfId="1461"/>
    <cellStyle name="20% - akcent 1 3 5 2 5 3 2" xfId="1462"/>
    <cellStyle name="20% - akcent 1 3 5 2 5 4" xfId="1463"/>
    <cellStyle name="20% - akcent 1 3 5 2 6" xfId="1464"/>
    <cellStyle name="20% - akcent 1 3 5 2 6 2" xfId="1465"/>
    <cellStyle name="20% - akcent 1 3 5 2 7" xfId="1466"/>
    <cellStyle name="20% - akcent 1 3 5 2 7 2" xfId="1467"/>
    <cellStyle name="20% - akcent 1 3 5 2 8" xfId="1468"/>
    <cellStyle name="20% - akcent 1 3 5 3" xfId="1469"/>
    <cellStyle name="20% - akcent 1 3 5 3 2" xfId="1470"/>
    <cellStyle name="20% - akcent 1 3 5 3 2 2" xfId="1471"/>
    <cellStyle name="20% - akcent 1 3 5 3 2 2 2" xfId="1472"/>
    <cellStyle name="20% - akcent 1 3 5 3 2 2 2 2" xfId="1473"/>
    <cellStyle name="20% - akcent 1 3 5 3 2 2 3" xfId="1474"/>
    <cellStyle name="20% - akcent 1 3 5 3 2 2 3 2" xfId="1475"/>
    <cellStyle name="20% - akcent 1 3 5 3 2 2 4" xfId="1476"/>
    <cellStyle name="20% - akcent 1 3 5 3 2 3" xfId="1477"/>
    <cellStyle name="20% - akcent 1 3 5 3 2 3 2" xfId="1478"/>
    <cellStyle name="20% - akcent 1 3 5 3 2 4" xfId="1479"/>
    <cellStyle name="20% - akcent 1 3 5 3 2 4 2" xfId="1480"/>
    <cellStyle name="20% - akcent 1 3 5 3 2 5" xfId="1481"/>
    <cellStyle name="20% - akcent 1 3 5 3 3" xfId="1482"/>
    <cellStyle name="20% - akcent 1 3 5 3 3 2" xfId="1483"/>
    <cellStyle name="20% - akcent 1 3 5 3 3 2 2" xfId="1484"/>
    <cellStyle name="20% - akcent 1 3 5 3 3 2 2 2" xfId="1485"/>
    <cellStyle name="20% - akcent 1 3 5 3 3 2 3" xfId="1486"/>
    <cellStyle name="20% - akcent 1 3 5 3 3 2 3 2" xfId="1487"/>
    <cellStyle name="20% - akcent 1 3 5 3 3 2 4" xfId="1488"/>
    <cellStyle name="20% - akcent 1 3 5 3 3 3" xfId="1489"/>
    <cellStyle name="20% - akcent 1 3 5 3 3 3 2" xfId="1490"/>
    <cellStyle name="20% - akcent 1 3 5 3 3 4" xfId="1491"/>
    <cellStyle name="20% - akcent 1 3 5 3 3 4 2" xfId="1492"/>
    <cellStyle name="20% - akcent 1 3 5 3 3 5" xfId="1493"/>
    <cellStyle name="20% - akcent 1 3 5 3 4" xfId="1494"/>
    <cellStyle name="20% - akcent 1 3 5 3 4 2" xfId="1495"/>
    <cellStyle name="20% - akcent 1 3 5 3 4 2 2" xfId="1496"/>
    <cellStyle name="20% - akcent 1 3 5 3 4 2 2 2" xfId="1497"/>
    <cellStyle name="20% - akcent 1 3 5 3 4 2 3" xfId="1498"/>
    <cellStyle name="20% - akcent 1 3 5 3 4 2 3 2" xfId="1499"/>
    <cellStyle name="20% - akcent 1 3 5 3 4 2 4" xfId="1500"/>
    <cellStyle name="20% - akcent 1 3 5 3 4 3" xfId="1501"/>
    <cellStyle name="20% - akcent 1 3 5 3 4 3 2" xfId="1502"/>
    <cellStyle name="20% - akcent 1 3 5 3 4 4" xfId="1503"/>
    <cellStyle name="20% - akcent 1 3 5 3 4 4 2" xfId="1504"/>
    <cellStyle name="20% - akcent 1 3 5 3 4 5" xfId="1505"/>
    <cellStyle name="20% - akcent 1 3 5 3 5" xfId="1506"/>
    <cellStyle name="20% - akcent 1 3 5 3 5 2" xfId="1507"/>
    <cellStyle name="20% - akcent 1 3 5 3 5 2 2" xfId="1508"/>
    <cellStyle name="20% - akcent 1 3 5 3 5 3" xfId="1509"/>
    <cellStyle name="20% - akcent 1 3 5 3 5 3 2" xfId="1510"/>
    <cellStyle name="20% - akcent 1 3 5 3 5 4" xfId="1511"/>
    <cellStyle name="20% - akcent 1 3 5 3 6" xfId="1512"/>
    <cellStyle name="20% - akcent 1 3 5 3 6 2" xfId="1513"/>
    <cellStyle name="20% - akcent 1 3 5 3 7" xfId="1514"/>
    <cellStyle name="20% - akcent 1 3 5 3 7 2" xfId="1515"/>
    <cellStyle name="20% - akcent 1 3 5 3 8" xfId="1516"/>
    <cellStyle name="20% - akcent 1 3 5 4" xfId="1517"/>
    <cellStyle name="20% - akcent 1 3 5 4 2" xfId="1518"/>
    <cellStyle name="20% - akcent 1 3 5 4 2 2" xfId="1519"/>
    <cellStyle name="20% - akcent 1 3 5 4 2 2 2" xfId="1520"/>
    <cellStyle name="20% - akcent 1 3 5 4 2 3" xfId="1521"/>
    <cellStyle name="20% - akcent 1 3 5 4 2 3 2" xfId="1522"/>
    <cellStyle name="20% - akcent 1 3 5 4 2 4" xfId="1523"/>
    <cellStyle name="20% - akcent 1 3 5 4 3" xfId="1524"/>
    <cellStyle name="20% - akcent 1 3 5 4 3 2" xfId="1525"/>
    <cellStyle name="20% - akcent 1 3 5 4 4" xfId="1526"/>
    <cellStyle name="20% - akcent 1 3 5 4 4 2" xfId="1527"/>
    <cellStyle name="20% - akcent 1 3 5 4 5" xfId="1528"/>
    <cellStyle name="20% - akcent 1 3 5 5" xfId="1529"/>
    <cellStyle name="20% - akcent 1 3 5 5 2" xfId="1530"/>
    <cellStyle name="20% - akcent 1 3 5 5 2 2" xfId="1531"/>
    <cellStyle name="20% - akcent 1 3 5 5 2 2 2" xfId="1532"/>
    <cellStyle name="20% - akcent 1 3 5 5 2 3" xfId="1533"/>
    <cellStyle name="20% - akcent 1 3 5 5 2 3 2" xfId="1534"/>
    <cellStyle name="20% - akcent 1 3 5 5 2 4" xfId="1535"/>
    <cellStyle name="20% - akcent 1 3 5 5 3" xfId="1536"/>
    <cellStyle name="20% - akcent 1 3 5 5 3 2" xfId="1537"/>
    <cellStyle name="20% - akcent 1 3 5 5 4" xfId="1538"/>
    <cellStyle name="20% - akcent 1 3 5 5 4 2" xfId="1539"/>
    <cellStyle name="20% - akcent 1 3 5 5 5" xfId="1540"/>
    <cellStyle name="20% - akcent 1 3 5 6" xfId="1541"/>
    <cellStyle name="20% - akcent 1 3 5 6 2" xfId="1542"/>
    <cellStyle name="20% - akcent 1 3 5 6 2 2" xfId="1543"/>
    <cellStyle name="20% - akcent 1 3 5 6 2 2 2" xfId="1544"/>
    <cellStyle name="20% - akcent 1 3 5 6 2 3" xfId="1545"/>
    <cellStyle name="20% - akcent 1 3 5 6 2 3 2" xfId="1546"/>
    <cellStyle name="20% - akcent 1 3 5 6 2 4" xfId="1547"/>
    <cellStyle name="20% - akcent 1 3 5 6 3" xfId="1548"/>
    <cellStyle name="20% - akcent 1 3 5 6 3 2" xfId="1549"/>
    <cellStyle name="20% - akcent 1 3 5 6 4" xfId="1550"/>
    <cellStyle name="20% - akcent 1 3 5 6 4 2" xfId="1551"/>
    <cellStyle name="20% - akcent 1 3 5 6 5" xfId="1552"/>
    <cellStyle name="20% - akcent 1 3 5 7" xfId="1553"/>
    <cellStyle name="20% - akcent 1 3 5 7 2" xfId="1554"/>
    <cellStyle name="20% - akcent 1 3 5 7 2 2" xfId="1555"/>
    <cellStyle name="20% - akcent 1 3 5 7 3" xfId="1556"/>
    <cellStyle name="20% - akcent 1 3 5 7 3 2" xfId="1557"/>
    <cellStyle name="20% - akcent 1 3 5 7 4" xfId="1558"/>
    <cellStyle name="20% - akcent 1 3 5 8" xfId="1559"/>
    <cellStyle name="20% - akcent 1 3 5 8 2" xfId="1560"/>
    <cellStyle name="20% - akcent 1 3 5 9" xfId="1561"/>
    <cellStyle name="20% - akcent 1 3 5 9 2" xfId="1562"/>
    <cellStyle name="20% - akcent 1 3 6" xfId="1563"/>
    <cellStyle name="20% - akcent 1 3 6 10" xfId="1564"/>
    <cellStyle name="20% - akcent 1 3 6 2" xfId="1565"/>
    <cellStyle name="20% - akcent 1 3 6 2 2" xfId="1566"/>
    <cellStyle name="20% - akcent 1 3 6 2 2 2" xfId="1567"/>
    <cellStyle name="20% - akcent 1 3 6 2 2 2 2" xfId="1568"/>
    <cellStyle name="20% - akcent 1 3 6 2 2 2 2 2" xfId="1569"/>
    <cellStyle name="20% - akcent 1 3 6 2 2 2 3" xfId="1570"/>
    <cellStyle name="20% - akcent 1 3 6 2 2 2 3 2" xfId="1571"/>
    <cellStyle name="20% - akcent 1 3 6 2 2 2 4" xfId="1572"/>
    <cellStyle name="20% - akcent 1 3 6 2 2 3" xfId="1573"/>
    <cellStyle name="20% - akcent 1 3 6 2 2 3 2" xfId="1574"/>
    <cellStyle name="20% - akcent 1 3 6 2 2 4" xfId="1575"/>
    <cellStyle name="20% - akcent 1 3 6 2 2 4 2" xfId="1576"/>
    <cellStyle name="20% - akcent 1 3 6 2 2 5" xfId="1577"/>
    <cellStyle name="20% - akcent 1 3 6 2 3" xfId="1578"/>
    <cellStyle name="20% - akcent 1 3 6 2 3 2" xfId="1579"/>
    <cellStyle name="20% - akcent 1 3 6 2 3 2 2" xfId="1580"/>
    <cellStyle name="20% - akcent 1 3 6 2 3 2 2 2" xfId="1581"/>
    <cellStyle name="20% - akcent 1 3 6 2 3 2 3" xfId="1582"/>
    <cellStyle name="20% - akcent 1 3 6 2 3 2 3 2" xfId="1583"/>
    <cellStyle name="20% - akcent 1 3 6 2 3 2 4" xfId="1584"/>
    <cellStyle name="20% - akcent 1 3 6 2 3 3" xfId="1585"/>
    <cellStyle name="20% - akcent 1 3 6 2 3 3 2" xfId="1586"/>
    <cellStyle name="20% - akcent 1 3 6 2 3 4" xfId="1587"/>
    <cellStyle name="20% - akcent 1 3 6 2 3 4 2" xfId="1588"/>
    <cellStyle name="20% - akcent 1 3 6 2 3 5" xfId="1589"/>
    <cellStyle name="20% - akcent 1 3 6 2 4" xfId="1590"/>
    <cellStyle name="20% - akcent 1 3 6 2 4 2" xfId="1591"/>
    <cellStyle name="20% - akcent 1 3 6 2 4 2 2" xfId="1592"/>
    <cellStyle name="20% - akcent 1 3 6 2 4 2 2 2" xfId="1593"/>
    <cellStyle name="20% - akcent 1 3 6 2 4 2 3" xfId="1594"/>
    <cellStyle name="20% - akcent 1 3 6 2 4 2 3 2" xfId="1595"/>
    <cellStyle name="20% - akcent 1 3 6 2 4 2 4" xfId="1596"/>
    <cellStyle name="20% - akcent 1 3 6 2 4 3" xfId="1597"/>
    <cellStyle name="20% - akcent 1 3 6 2 4 3 2" xfId="1598"/>
    <cellStyle name="20% - akcent 1 3 6 2 4 4" xfId="1599"/>
    <cellStyle name="20% - akcent 1 3 6 2 4 4 2" xfId="1600"/>
    <cellStyle name="20% - akcent 1 3 6 2 4 5" xfId="1601"/>
    <cellStyle name="20% - akcent 1 3 6 2 5" xfId="1602"/>
    <cellStyle name="20% - akcent 1 3 6 2 5 2" xfId="1603"/>
    <cellStyle name="20% - akcent 1 3 6 2 5 2 2" xfId="1604"/>
    <cellStyle name="20% - akcent 1 3 6 2 5 3" xfId="1605"/>
    <cellStyle name="20% - akcent 1 3 6 2 5 3 2" xfId="1606"/>
    <cellStyle name="20% - akcent 1 3 6 2 5 4" xfId="1607"/>
    <cellStyle name="20% - akcent 1 3 6 2 6" xfId="1608"/>
    <cellStyle name="20% - akcent 1 3 6 2 6 2" xfId="1609"/>
    <cellStyle name="20% - akcent 1 3 6 2 7" xfId="1610"/>
    <cellStyle name="20% - akcent 1 3 6 2 7 2" xfId="1611"/>
    <cellStyle name="20% - akcent 1 3 6 2 8" xfId="1612"/>
    <cellStyle name="20% - akcent 1 3 6 3" xfId="1613"/>
    <cellStyle name="20% - akcent 1 3 6 3 2" xfId="1614"/>
    <cellStyle name="20% - akcent 1 3 6 3 2 2" xfId="1615"/>
    <cellStyle name="20% - akcent 1 3 6 3 2 2 2" xfId="1616"/>
    <cellStyle name="20% - akcent 1 3 6 3 2 2 2 2" xfId="1617"/>
    <cellStyle name="20% - akcent 1 3 6 3 2 2 3" xfId="1618"/>
    <cellStyle name="20% - akcent 1 3 6 3 2 2 3 2" xfId="1619"/>
    <cellStyle name="20% - akcent 1 3 6 3 2 2 4" xfId="1620"/>
    <cellStyle name="20% - akcent 1 3 6 3 2 3" xfId="1621"/>
    <cellStyle name="20% - akcent 1 3 6 3 2 3 2" xfId="1622"/>
    <cellStyle name="20% - akcent 1 3 6 3 2 4" xfId="1623"/>
    <cellStyle name="20% - akcent 1 3 6 3 2 4 2" xfId="1624"/>
    <cellStyle name="20% - akcent 1 3 6 3 2 5" xfId="1625"/>
    <cellStyle name="20% - akcent 1 3 6 3 3" xfId="1626"/>
    <cellStyle name="20% - akcent 1 3 6 3 3 2" xfId="1627"/>
    <cellStyle name="20% - akcent 1 3 6 3 3 2 2" xfId="1628"/>
    <cellStyle name="20% - akcent 1 3 6 3 3 2 2 2" xfId="1629"/>
    <cellStyle name="20% - akcent 1 3 6 3 3 2 3" xfId="1630"/>
    <cellStyle name="20% - akcent 1 3 6 3 3 2 3 2" xfId="1631"/>
    <cellStyle name="20% - akcent 1 3 6 3 3 2 4" xfId="1632"/>
    <cellStyle name="20% - akcent 1 3 6 3 3 3" xfId="1633"/>
    <cellStyle name="20% - akcent 1 3 6 3 3 3 2" xfId="1634"/>
    <cellStyle name="20% - akcent 1 3 6 3 3 4" xfId="1635"/>
    <cellStyle name="20% - akcent 1 3 6 3 3 4 2" xfId="1636"/>
    <cellStyle name="20% - akcent 1 3 6 3 3 5" xfId="1637"/>
    <cellStyle name="20% - akcent 1 3 6 3 4" xfId="1638"/>
    <cellStyle name="20% - akcent 1 3 6 3 4 2" xfId="1639"/>
    <cellStyle name="20% - akcent 1 3 6 3 4 2 2" xfId="1640"/>
    <cellStyle name="20% - akcent 1 3 6 3 4 2 2 2" xfId="1641"/>
    <cellStyle name="20% - akcent 1 3 6 3 4 2 3" xfId="1642"/>
    <cellStyle name="20% - akcent 1 3 6 3 4 2 3 2" xfId="1643"/>
    <cellStyle name="20% - akcent 1 3 6 3 4 2 4" xfId="1644"/>
    <cellStyle name="20% - akcent 1 3 6 3 4 3" xfId="1645"/>
    <cellStyle name="20% - akcent 1 3 6 3 4 3 2" xfId="1646"/>
    <cellStyle name="20% - akcent 1 3 6 3 4 4" xfId="1647"/>
    <cellStyle name="20% - akcent 1 3 6 3 4 4 2" xfId="1648"/>
    <cellStyle name="20% - akcent 1 3 6 3 4 5" xfId="1649"/>
    <cellStyle name="20% - akcent 1 3 6 3 5" xfId="1650"/>
    <cellStyle name="20% - akcent 1 3 6 3 5 2" xfId="1651"/>
    <cellStyle name="20% - akcent 1 3 6 3 5 2 2" xfId="1652"/>
    <cellStyle name="20% - akcent 1 3 6 3 5 3" xfId="1653"/>
    <cellStyle name="20% - akcent 1 3 6 3 5 3 2" xfId="1654"/>
    <cellStyle name="20% - akcent 1 3 6 3 5 4" xfId="1655"/>
    <cellStyle name="20% - akcent 1 3 6 3 6" xfId="1656"/>
    <cellStyle name="20% - akcent 1 3 6 3 6 2" xfId="1657"/>
    <cellStyle name="20% - akcent 1 3 6 3 7" xfId="1658"/>
    <cellStyle name="20% - akcent 1 3 6 3 7 2" xfId="1659"/>
    <cellStyle name="20% - akcent 1 3 6 3 8" xfId="1660"/>
    <cellStyle name="20% - akcent 1 3 6 4" xfId="1661"/>
    <cellStyle name="20% - akcent 1 3 6 4 2" xfId="1662"/>
    <cellStyle name="20% - akcent 1 3 6 4 2 2" xfId="1663"/>
    <cellStyle name="20% - akcent 1 3 6 4 2 2 2" xfId="1664"/>
    <cellStyle name="20% - akcent 1 3 6 4 2 3" xfId="1665"/>
    <cellStyle name="20% - akcent 1 3 6 4 2 3 2" xfId="1666"/>
    <cellStyle name="20% - akcent 1 3 6 4 2 4" xfId="1667"/>
    <cellStyle name="20% - akcent 1 3 6 4 3" xfId="1668"/>
    <cellStyle name="20% - akcent 1 3 6 4 3 2" xfId="1669"/>
    <cellStyle name="20% - akcent 1 3 6 4 4" xfId="1670"/>
    <cellStyle name="20% - akcent 1 3 6 4 4 2" xfId="1671"/>
    <cellStyle name="20% - akcent 1 3 6 4 5" xfId="1672"/>
    <cellStyle name="20% - akcent 1 3 6 5" xfId="1673"/>
    <cellStyle name="20% - akcent 1 3 6 5 2" xfId="1674"/>
    <cellStyle name="20% - akcent 1 3 6 5 2 2" xfId="1675"/>
    <cellStyle name="20% - akcent 1 3 6 5 2 2 2" xfId="1676"/>
    <cellStyle name="20% - akcent 1 3 6 5 2 3" xfId="1677"/>
    <cellStyle name="20% - akcent 1 3 6 5 2 3 2" xfId="1678"/>
    <cellStyle name="20% - akcent 1 3 6 5 2 4" xfId="1679"/>
    <cellStyle name="20% - akcent 1 3 6 5 3" xfId="1680"/>
    <cellStyle name="20% - akcent 1 3 6 5 3 2" xfId="1681"/>
    <cellStyle name="20% - akcent 1 3 6 5 4" xfId="1682"/>
    <cellStyle name="20% - akcent 1 3 6 5 4 2" xfId="1683"/>
    <cellStyle name="20% - akcent 1 3 6 5 5" xfId="1684"/>
    <cellStyle name="20% - akcent 1 3 6 6" xfId="1685"/>
    <cellStyle name="20% - akcent 1 3 6 6 2" xfId="1686"/>
    <cellStyle name="20% - akcent 1 3 6 6 2 2" xfId="1687"/>
    <cellStyle name="20% - akcent 1 3 6 6 2 2 2" xfId="1688"/>
    <cellStyle name="20% - akcent 1 3 6 6 2 3" xfId="1689"/>
    <cellStyle name="20% - akcent 1 3 6 6 2 3 2" xfId="1690"/>
    <cellStyle name="20% - akcent 1 3 6 6 2 4" xfId="1691"/>
    <cellStyle name="20% - akcent 1 3 6 6 3" xfId="1692"/>
    <cellStyle name="20% - akcent 1 3 6 6 3 2" xfId="1693"/>
    <cellStyle name="20% - akcent 1 3 6 6 4" xfId="1694"/>
    <cellStyle name="20% - akcent 1 3 6 6 4 2" xfId="1695"/>
    <cellStyle name="20% - akcent 1 3 6 6 5" xfId="1696"/>
    <cellStyle name="20% - akcent 1 3 6 7" xfId="1697"/>
    <cellStyle name="20% - akcent 1 3 6 7 2" xfId="1698"/>
    <cellStyle name="20% - akcent 1 3 6 7 2 2" xfId="1699"/>
    <cellStyle name="20% - akcent 1 3 6 7 3" xfId="1700"/>
    <cellStyle name="20% - akcent 1 3 6 7 3 2" xfId="1701"/>
    <cellStyle name="20% - akcent 1 3 6 7 4" xfId="1702"/>
    <cellStyle name="20% - akcent 1 3 6 8" xfId="1703"/>
    <cellStyle name="20% - akcent 1 3 6 8 2" xfId="1704"/>
    <cellStyle name="20% - akcent 1 3 6 9" xfId="1705"/>
    <cellStyle name="20% - akcent 1 3 6 9 2" xfId="1706"/>
    <cellStyle name="20% - akcent 1 3 7" xfId="1707"/>
    <cellStyle name="20% - akcent 1 3 7 2" xfId="1708"/>
    <cellStyle name="20% - akcent 1 3 7 2 2" xfId="1709"/>
    <cellStyle name="20% - akcent 1 3 7 2 2 2" xfId="1710"/>
    <cellStyle name="20% - akcent 1 3 7 2 2 2 2" xfId="1711"/>
    <cellStyle name="20% - akcent 1 3 7 2 2 2 2 2" xfId="1712"/>
    <cellStyle name="20% - akcent 1 3 7 2 2 2 3" xfId="1713"/>
    <cellStyle name="20% - akcent 1 3 7 2 2 2 3 2" xfId="1714"/>
    <cellStyle name="20% - akcent 1 3 7 2 2 2 4" xfId="1715"/>
    <cellStyle name="20% - akcent 1 3 7 2 2 3" xfId="1716"/>
    <cellStyle name="20% - akcent 1 3 7 2 2 3 2" xfId="1717"/>
    <cellStyle name="20% - akcent 1 3 7 2 2 4" xfId="1718"/>
    <cellStyle name="20% - akcent 1 3 7 2 2 4 2" xfId="1719"/>
    <cellStyle name="20% - akcent 1 3 7 2 2 5" xfId="1720"/>
    <cellStyle name="20% - akcent 1 3 7 2 3" xfId="1721"/>
    <cellStyle name="20% - akcent 1 3 7 2 3 2" xfId="1722"/>
    <cellStyle name="20% - akcent 1 3 7 2 3 2 2" xfId="1723"/>
    <cellStyle name="20% - akcent 1 3 7 2 3 2 2 2" xfId="1724"/>
    <cellStyle name="20% - akcent 1 3 7 2 3 2 3" xfId="1725"/>
    <cellStyle name="20% - akcent 1 3 7 2 3 2 3 2" xfId="1726"/>
    <cellStyle name="20% - akcent 1 3 7 2 3 2 4" xfId="1727"/>
    <cellStyle name="20% - akcent 1 3 7 2 3 3" xfId="1728"/>
    <cellStyle name="20% - akcent 1 3 7 2 3 3 2" xfId="1729"/>
    <cellStyle name="20% - akcent 1 3 7 2 3 4" xfId="1730"/>
    <cellStyle name="20% - akcent 1 3 7 2 3 4 2" xfId="1731"/>
    <cellStyle name="20% - akcent 1 3 7 2 3 5" xfId="1732"/>
    <cellStyle name="20% - akcent 1 3 7 2 4" xfId="1733"/>
    <cellStyle name="20% - akcent 1 3 7 2 4 2" xfId="1734"/>
    <cellStyle name="20% - akcent 1 3 7 2 4 2 2" xfId="1735"/>
    <cellStyle name="20% - akcent 1 3 7 2 4 2 2 2" xfId="1736"/>
    <cellStyle name="20% - akcent 1 3 7 2 4 2 3" xfId="1737"/>
    <cellStyle name="20% - akcent 1 3 7 2 4 2 3 2" xfId="1738"/>
    <cellStyle name="20% - akcent 1 3 7 2 4 2 4" xfId="1739"/>
    <cellStyle name="20% - akcent 1 3 7 2 4 3" xfId="1740"/>
    <cellStyle name="20% - akcent 1 3 7 2 4 3 2" xfId="1741"/>
    <cellStyle name="20% - akcent 1 3 7 2 4 4" xfId="1742"/>
    <cellStyle name="20% - akcent 1 3 7 2 4 4 2" xfId="1743"/>
    <cellStyle name="20% - akcent 1 3 7 2 4 5" xfId="1744"/>
    <cellStyle name="20% - akcent 1 3 7 2 5" xfId="1745"/>
    <cellStyle name="20% - akcent 1 3 7 2 5 2" xfId="1746"/>
    <cellStyle name="20% - akcent 1 3 7 2 5 2 2" xfId="1747"/>
    <cellStyle name="20% - akcent 1 3 7 2 5 3" xfId="1748"/>
    <cellStyle name="20% - akcent 1 3 7 2 5 3 2" xfId="1749"/>
    <cellStyle name="20% - akcent 1 3 7 2 5 4" xfId="1750"/>
    <cellStyle name="20% - akcent 1 3 7 2 6" xfId="1751"/>
    <cellStyle name="20% - akcent 1 3 7 2 6 2" xfId="1752"/>
    <cellStyle name="20% - akcent 1 3 7 2 7" xfId="1753"/>
    <cellStyle name="20% - akcent 1 3 7 2 7 2" xfId="1754"/>
    <cellStyle name="20% - akcent 1 3 7 2 8" xfId="1755"/>
    <cellStyle name="20% - akcent 1 3 7 3" xfId="1756"/>
    <cellStyle name="20% - akcent 1 3 7 3 2" xfId="1757"/>
    <cellStyle name="20% - akcent 1 3 7 3 2 2" xfId="1758"/>
    <cellStyle name="20% - akcent 1 3 7 3 2 2 2" xfId="1759"/>
    <cellStyle name="20% - akcent 1 3 7 3 2 3" xfId="1760"/>
    <cellStyle name="20% - akcent 1 3 7 3 2 3 2" xfId="1761"/>
    <cellStyle name="20% - akcent 1 3 7 3 2 4" xfId="1762"/>
    <cellStyle name="20% - akcent 1 3 7 3 3" xfId="1763"/>
    <cellStyle name="20% - akcent 1 3 7 3 3 2" xfId="1764"/>
    <cellStyle name="20% - akcent 1 3 7 3 4" xfId="1765"/>
    <cellStyle name="20% - akcent 1 3 7 3 4 2" xfId="1766"/>
    <cellStyle name="20% - akcent 1 3 7 3 5" xfId="1767"/>
    <cellStyle name="20% - akcent 1 3 7 4" xfId="1768"/>
    <cellStyle name="20% - akcent 1 3 7 4 2" xfId="1769"/>
    <cellStyle name="20% - akcent 1 3 7 4 2 2" xfId="1770"/>
    <cellStyle name="20% - akcent 1 3 7 4 2 2 2" xfId="1771"/>
    <cellStyle name="20% - akcent 1 3 7 4 2 3" xfId="1772"/>
    <cellStyle name="20% - akcent 1 3 7 4 2 3 2" xfId="1773"/>
    <cellStyle name="20% - akcent 1 3 7 4 2 4" xfId="1774"/>
    <cellStyle name="20% - akcent 1 3 7 4 3" xfId="1775"/>
    <cellStyle name="20% - akcent 1 3 7 4 3 2" xfId="1776"/>
    <cellStyle name="20% - akcent 1 3 7 4 4" xfId="1777"/>
    <cellStyle name="20% - akcent 1 3 7 4 4 2" xfId="1778"/>
    <cellStyle name="20% - akcent 1 3 7 4 5" xfId="1779"/>
    <cellStyle name="20% - akcent 1 3 7 5" xfId="1780"/>
    <cellStyle name="20% - akcent 1 3 7 5 2" xfId="1781"/>
    <cellStyle name="20% - akcent 1 3 7 5 2 2" xfId="1782"/>
    <cellStyle name="20% - akcent 1 3 7 5 2 2 2" xfId="1783"/>
    <cellStyle name="20% - akcent 1 3 7 5 2 3" xfId="1784"/>
    <cellStyle name="20% - akcent 1 3 7 5 2 3 2" xfId="1785"/>
    <cellStyle name="20% - akcent 1 3 7 5 2 4" xfId="1786"/>
    <cellStyle name="20% - akcent 1 3 7 5 3" xfId="1787"/>
    <cellStyle name="20% - akcent 1 3 7 5 3 2" xfId="1788"/>
    <cellStyle name="20% - akcent 1 3 7 5 4" xfId="1789"/>
    <cellStyle name="20% - akcent 1 3 7 5 4 2" xfId="1790"/>
    <cellStyle name="20% - akcent 1 3 7 5 5" xfId="1791"/>
    <cellStyle name="20% - akcent 1 3 7 6" xfId="1792"/>
    <cellStyle name="20% - akcent 1 3 7 6 2" xfId="1793"/>
    <cellStyle name="20% - akcent 1 3 7 6 2 2" xfId="1794"/>
    <cellStyle name="20% - akcent 1 3 7 6 3" xfId="1795"/>
    <cellStyle name="20% - akcent 1 3 7 6 3 2" xfId="1796"/>
    <cellStyle name="20% - akcent 1 3 7 6 4" xfId="1797"/>
    <cellStyle name="20% - akcent 1 3 7 7" xfId="1798"/>
    <cellStyle name="20% - akcent 1 3 7 7 2" xfId="1799"/>
    <cellStyle name="20% - akcent 1 3 7 8" xfId="1800"/>
    <cellStyle name="20% - akcent 1 3 7 8 2" xfId="1801"/>
    <cellStyle name="20% - akcent 1 3 7 9" xfId="1802"/>
    <cellStyle name="20% - akcent 1 3 8" xfId="1803"/>
    <cellStyle name="20% - akcent 1 3 8 2" xfId="1804"/>
    <cellStyle name="20% - akcent 1 3 8 2 2" xfId="1805"/>
    <cellStyle name="20% - akcent 1 3 8 2 2 2" xfId="1806"/>
    <cellStyle name="20% - akcent 1 3 8 2 2 2 2" xfId="1807"/>
    <cellStyle name="20% - akcent 1 3 8 2 2 2 2 2" xfId="1808"/>
    <cellStyle name="20% - akcent 1 3 8 2 2 2 3" xfId="1809"/>
    <cellStyle name="20% - akcent 1 3 8 2 2 2 3 2" xfId="1810"/>
    <cellStyle name="20% - akcent 1 3 8 2 2 2 4" xfId="1811"/>
    <cellStyle name="20% - akcent 1 3 8 2 2 3" xfId="1812"/>
    <cellStyle name="20% - akcent 1 3 8 2 2 3 2" xfId="1813"/>
    <cellStyle name="20% - akcent 1 3 8 2 2 4" xfId="1814"/>
    <cellStyle name="20% - akcent 1 3 8 2 2 4 2" xfId="1815"/>
    <cellStyle name="20% - akcent 1 3 8 2 2 5" xfId="1816"/>
    <cellStyle name="20% - akcent 1 3 8 2 3" xfId="1817"/>
    <cellStyle name="20% - akcent 1 3 8 2 3 2" xfId="1818"/>
    <cellStyle name="20% - akcent 1 3 8 2 3 2 2" xfId="1819"/>
    <cellStyle name="20% - akcent 1 3 8 2 3 2 2 2" xfId="1820"/>
    <cellStyle name="20% - akcent 1 3 8 2 3 2 3" xfId="1821"/>
    <cellStyle name="20% - akcent 1 3 8 2 3 2 3 2" xfId="1822"/>
    <cellStyle name="20% - akcent 1 3 8 2 3 2 4" xfId="1823"/>
    <cellStyle name="20% - akcent 1 3 8 2 3 3" xfId="1824"/>
    <cellStyle name="20% - akcent 1 3 8 2 3 3 2" xfId="1825"/>
    <cellStyle name="20% - akcent 1 3 8 2 3 4" xfId="1826"/>
    <cellStyle name="20% - akcent 1 3 8 2 3 4 2" xfId="1827"/>
    <cellStyle name="20% - akcent 1 3 8 2 3 5" xfId="1828"/>
    <cellStyle name="20% - akcent 1 3 8 2 4" xfId="1829"/>
    <cellStyle name="20% - akcent 1 3 8 2 4 2" xfId="1830"/>
    <cellStyle name="20% - akcent 1 3 8 2 4 2 2" xfId="1831"/>
    <cellStyle name="20% - akcent 1 3 8 2 4 2 2 2" xfId="1832"/>
    <cellStyle name="20% - akcent 1 3 8 2 4 2 3" xfId="1833"/>
    <cellStyle name="20% - akcent 1 3 8 2 4 2 3 2" xfId="1834"/>
    <cellStyle name="20% - akcent 1 3 8 2 4 2 4" xfId="1835"/>
    <cellStyle name="20% - akcent 1 3 8 2 4 3" xfId="1836"/>
    <cellStyle name="20% - akcent 1 3 8 2 4 3 2" xfId="1837"/>
    <cellStyle name="20% - akcent 1 3 8 2 4 4" xfId="1838"/>
    <cellStyle name="20% - akcent 1 3 8 2 4 4 2" xfId="1839"/>
    <cellStyle name="20% - akcent 1 3 8 2 4 5" xfId="1840"/>
    <cellStyle name="20% - akcent 1 3 8 2 5" xfId="1841"/>
    <cellStyle name="20% - akcent 1 3 8 2 5 2" xfId="1842"/>
    <cellStyle name="20% - akcent 1 3 8 2 5 2 2" xfId="1843"/>
    <cellStyle name="20% - akcent 1 3 8 2 5 3" xfId="1844"/>
    <cellStyle name="20% - akcent 1 3 8 2 5 3 2" xfId="1845"/>
    <cellStyle name="20% - akcent 1 3 8 2 5 4" xfId="1846"/>
    <cellStyle name="20% - akcent 1 3 8 2 6" xfId="1847"/>
    <cellStyle name="20% - akcent 1 3 8 2 6 2" xfId="1848"/>
    <cellStyle name="20% - akcent 1 3 8 2 7" xfId="1849"/>
    <cellStyle name="20% - akcent 1 3 8 2 7 2" xfId="1850"/>
    <cellStyle name="20% - akcent 1 3 8 2 8" xfId="1851"/>
    <cellStyle name="20% - akcent 1 3 8 3" xfId="1852"/>
    <cellStyle name="20% - akcent 1 3 8 3 2" xfId="1853"/>
    <cellStyle name="20% - akcent 1 3 8 3 2 2" xfId="1854"/>
    <cellStyle name="20% - akcent 1 3 8 3 2 2 2" xfId="1855"/>
    <cellStyle name="20% - akcent 1 3 8 3 2 3" xfId="1856"/>
    <cellStyle name="20% - akcent 1 3 8 3 2 3 2" xfId="1857"/>
    <cellStyle name="20% - akcent 1 3 8 3 2 4" xfId="1858"/>
    <cellStyle name="20% - akcent 1 3 8 3 3" xfId="1859"/>
    <cellStyle name="20% - akcent 1 3 8 3 3 2" xfId="1860"/>
    <cellStyle name="20% - akcent 1 3 8 3 4" xfId="1861"/>
    <cellStyle name="20% - akcent 1 3 8 3 4 2" xfId="1862"/>
    <cellStyle name="20% - akcent 1 3 8 3 5" xfId="1863"/>
    <cellStyle name="20% - akcent 1 3 8 4" xfId="1864"/>
    <cellStyle name="20% - akcent 1 3 8 4 2" xfId="1865"/>
    <cellStyle name="20% - akcent 1 3 8 4 2 2" xfId="1866"/>
    <cellStyle name="20% - akcent 1 3 8 4 2 2 2" xfId="1867"/>
    <cellStyle name="20% - akcent 1 3 8 4 2 3" xfId="1868"/>
    <cellStyle name="20% - akcent 1 3 8 4 2 3 2" xfId="1869"/>
    <cellStyle name="20% - akcent 1 3 8 4 2 4" xfId="1870"/>
    <cellStyle name="20% - akcent 1 3 8 4 3" xfId="1871"/>
    <cellStyle name="20% - akcent 1 3 8 4 3 2" xfId="1872"/>
    <cellStyle name="20% - akcent 1 3 8 4 4" xfId="1873"/>
    <cellStyle name="20% - akcent 1 3 8 4 4 2" xfId="1874"/>
    <cellStyle name="20% - akcent 1 3 8 4 5" xfId="1875"/>
    <cellStyle name="20% - akcent 1 3 8 5" xfId="1876"/>
    <cellStyle name="20% - akcent 1 3 8 5 2" xfId="1877"/>
    <cellStyle name="20% - akcent 1 3 8 5 2 2" xfId="1878"/>
    <cellStyle name="20% - akcent 1 3 8 5 2 2 2" xfId="1879"/>
    <cellStyle name="20% - akcent 1 3 8 5 2 3" xfId="1880"/>
    <cellStyle name="20% - akcent 1 3 8 5 2 3 2" xfId="1881"/>
    <cellStyle name="20% - akcent 1 3 8 5 2 4" xfId="1882"/>
    <cellStyle name="20% - akcent 1 3 8 5 3" xfId="1883"/>
    <cellStyle name="20% - akcent 1 3 8 5 3 2" xfId="1884"/>
    <cellStyle name="20% - akcent 1 3 8 5 4" xfId="1885"/>
    <cellStyle name="20% - akcent 1 3 8 5 4 2" xfId="1886"/>
    <cellStyle name="20% - akcent 1 3 8 5 5" xfId="1887"/>
    <cellStyle name="20% - akcent 1 3 8 6" xfId="1888"/>
    <cellStyle name="20% - akcent 1 3 8 6 2" xfId="1889"/>
    <cellStyle name="20% - akcent 1 3 8 6 2 2" xfId="1890"/>
    <cellStyle name="20% - akcent 1 3 8 6 3" xfId="1891"/>
    <cellStyle name="20% - akcent 1 3 8 6 3 2" xfId="1892"/>
    <cellStyle name="20% - akcent 1 3 8 6 4" xfId="1893"/>
    <cellStyle name="20% - akcent 1 3 8 7" xfId="1894"/>
    <cellStyle name="20% - akcent 1 3 8 7 2" xfId="1895"/>
    <cellStyle name="20% - akcent 1 3 8 8" xfId="1896"/>
    <cellStyle name="20% - akcent 1 3 8 8 2" xfId="1897"/>
    <cellStyle name="20% - akcent 1 3 8 9" xfId="1898"/>
    <cellStyle name="20% - akcent 1 3 9" xfId="1899"/>
    <cellStyle name="20% - akcent 1 3 9 2" xfId="1900"/>
    <cellStyle name="20% - akcent 1 3 9 2 2" xfId="1901"/>
    <cellStyle name="20% - akcent 1 3 9 2 2 2" xfId="1902"/>
    <cellStyle name="20% - akcent 1 3 9 2 2 2 2" xfId="1903"/>
    <cellStyle name="20% - akcent 1 3 9 2 2 3" xfId="1904"/>
    <cellStyle name="20% - akcent 1 3 9 2 2 3 2" xfId="1905"/>
    <cellStyle name="20% - akcent 1 3 9 2 2 4" xfId="1906"/>
    <cellStyle name="20% - akcent 1 3 9 2 3" xfId="1907"/>
    <cellStyle name="20% - akcent 1 3 9 2 3 2" xfId="1908"/>
    <cellStyle name="20% - akcent 1 3 9 2 4" xfId="1909"/>
    <cellStyle name="20% - akcent 1 3 9 2 4 2" xfId="1910"/>
    <cellStyle name="20% - akcent 1 3 9 2 5" xfId="1911"/>
    <cellStyle name="20% - akcent 1 3 9 3" xfId="1912"/>
    <cellStyle name="20% - akcent 1 3 9 3 2" xfId="1913"/>
    <cellStyle name="20% - akcent 1 3 9 3 2 2" xfId="1914"/>
    <cellStyle name="20% - akcent 1 3 9 3 2 2 2" xfId="1915"/>
    <cellStyle name="20% - akcent 1 3 9 3 2 3" xfId="1916"/>
    <cellStyle name="20% - akcent 1 3 9 3 2 3 2" xfId="1917"/>
    <cellStyle name="20% - akcent 1 3 9 3 2 4" xfId="1918"/>
    <cellStyle name="20% - akcent 1 3 9 3 3" xfId="1919"/>
    <cellStyle name="20% - akcent 1 3 9 3 3 2" xfId="1920"/>
    <cellStyle name="20% - akcent 1 3 9 3 4" xfId="1921"/>
    <cellStyle name="20% - akcent 1 3 9 3 4 2" xfId="1922"/>
    <cellStyle name="20% - akcent 1 3 9 3 5" xfId="1923"/>
    <cellStyle name="20% - akcent 1 3 9 4" xfId="1924"/>
    <cellStyle name="20% - akcent 1 3 9 4 2" xfId="1925"/>
    <cellStyle name="20% - akcent 1 3 9 4 2 2" xfId="1926"/>
    <cellStyle name="20% - akcent 1 3 9 4 2 2 2" xfId="1927"/>
    <cellStyle name="20% - akcent 1 3 9 4 2 3" xfId="1928"/>
    <cellStyle name="20% - akcent 1 3 9 4 2 3 2" xfId="1929"/>
    <cellStyle name="20% - akcent 1 3 9 4 2 4" xfId="1930"/>
    <cellStyle name="20% - akcent 1 3 9 4 3" xfId="1931"/>
    <cellStyle name="20% - akcent 1 3 9 4 3 2" xfId="1932"/>
    <cellStyle name="20% - akcent 1 3 9 4 4" xfId="1933"/>
    <cellStyle name="20% - akcent 1 3 9 4 4 2" xfId="1934"/>
    <cellStyle name="20% - akcent 1 3 9 4 5" xfId="1935"/>
    <cellStyle name="20% - akcent 1 3 9 5" xfId="1936"/>
    <cellStyle name="20% - akcent 1 3 9 5 2" xfId="1937"/>
    <cellStyle name="20% - akcent 1 3 9 5 2 2" xfId="1938"/>
    <cellStyle name="20% - akcent 1 3 9 5 3" xfId="1939"/>
    <cellStyle name="20% - akcent 1 3 9 5 3 2" xfId="1940"/>
    <cellStyle name="20% - akcent 1 3 9 5 4" xfId="1941"/>
    <cellStyle name="20% - akcent 1 3 9 6" xfId="1942"/>
    <cellStyle name="20% - akcent 1 3 9 6 2" xfId="1943"/>
    <cellStyle name="20% - akcent 1 3 9 7" xfId="1944"/>
    <cellStyle name="20% - akcent 1 3 9 7 2" xfId="1945"/>
    <cellStyle name="20% - akcent 1 3 9 8" xfId="1946"/>
    <cellStyle name="20% - akcent 1 4" xfId="1947"/>
    <cellStyle name="20% - akcent 1 5" xfId="1948"/>
    <cellStyle name="20% - akcent 1 6" xfId="1949"/>
    <cellStyle name="20% - akcent 2 2" xfId="1950"/>
    <cellStyle name="20% - akcent 2 2 2" xfId="1951"/>
    <cellStyle name="20% - akcent 2 2 3" xfId="1952"/>
    <cellStyle name="20% - akcent 2 3" xfId="1953"/>
    <cellStyle name="20% - akcent 2 3 10" xfId="1954"/>
    <cellStyle name="20% - akcent 2 3 10 2" xfId="1955"/>
    <cellStyle name="20% - akcent 2 3 10 2 2" xfId="1956"/>
    <cellStyle name="20% - akcent 2 3 10 2 2 2" xfId="1957"/>
    <cellStyle name="20% - akcent 2 3 10 2 2 2 2" xfId="1958"/>
    <cellStyle name="20% - akcent 2 3 10 2 2 3" xfId="1959"/>
    <cellStyle name="20% - akcent 2 3 10 2 2 3 2" xfId="1960"/>
    <cellStyle name="20% - akcent 2 3 10 2 2 4" xfId="1961"/>
    <cellStyle name="20% - akcent 2 3 10 2 3" xfId="1962"/>
    <cellStyle name="20% - akcent 2 3 10 2 3 2" xfId="1963"/>
    <cellStyle name="20% - akcent 2 3 10 2 4" xfId="1964"/>
    <cellStyle name="20% - akcent 2 3 10 2 4 2" xfId="1965"/>
    <cellStyle name="20% - akcent 2 3 10 2 5" xfId="1966"/>
    <cellStyle name="20% - akcent 2 3 10 3" xfId="1967"/>
    <cellStyle name="20% - akcent 2 3 10 3 2" xfId="1968"/>
    <cellStyle name="20% - akcent 2 3 10 3 2 2" xfId="1969"/>
    <cellStyle name="20% - akcent 2 3 10 3 3" xfId="1970"/>
    <cellStyle name="20% - akcent 2 3 10 3 3 2" xfId="1971"/>
    <cellStyle name="20% - akcent 2 3 10 3 4" xfId="1972"/>
    <cellStyle name="20% - akcent 2 3 10 4" xfId="1973"/>
    <cellStyle name="20% - akcent 2 3 10 4 2" xfId="1974"/>
    <cellStyle name="20% - akcent 2 3 10 5" xfId="1975"/>
    <cellStyle name="20% - akcent 2 3 10 5 2" xfId="1976"/>
    <cellStyle name="20% - akcent 2 3 10 6" xfId="1977"/>
    <cellStyle name="20% - akcent 2 3 11" xfId="1978"/>
    <cellStyle name="20% - akcent 2 3 11 2" xfId="1979"/>
    <cellStyle name="20% - akcent 2 3 11 2 2" xfId="1980"/>
    <cellStyle name="20% - akcent 2 3 11 2 2 2" xfId="1981"/>
    <cellStyle name="20% - akcent 2 3 11 2 3" xfId="1982"/>
    <cellStyle name="20% - akcent 2 3 11 2 3 2" xfId="1983"/>
    <cellStyle name="20% - akcent 2 3 11 2 4" xfId="1984"/>
    <cellStyle name="20% - akcent 2 3 11 3" xfId="1985"/>
    <cellStyle name="20% - akcent 2 3 11 3 2" xfId="1986"/>
    <cellStyle name="20% - akcent 2 3 11 4" xfId="1987"/>
    <cellStyle name="20% - akcent 2 3 11 4 2" xfId="1988"/>
    <cellStyle name="20% - akcent 2 3 11 5" xfId="1989"/>
    <cellStyle name="20% - akcent 2 3 12" xfId="1990"/>
    <cellStyle name="20% - akcent 2 3 12 2" xfId="1991"/>
    <cellStyle name="20% - akcent 2 3 12 2 2" xfId="1992"/>
    <cellStyle name="20% - akcent 2 3 12 2 2 2" xfId="1993"/>
    <cellStyle name="20% - akcent 2 3 12 2 3" xfId="1994"/>
    <cellStyle name="20% - akcent 2 3 12 2 3 2" xfId="1995"/>
    <cellStyle name="20% - akcent 2 3 12 2 4" xfId="1996"/>
    <cellStyle name="20% - akcent 2 3 12 3" xfId="1997"/>
    <cellStyle name="20% - akcent 2 3 12 3 2" xfId="1998"/>
    <cellStyle name="20% - akcent 2 3 12 4" xfId="1999"/>
    <cellStyle name="20% - akcent 2 3 12 4 2" xfId="2000"/>
    <cellStyle name="20% - akcent 2 3 12 5" xfId="2001"/>
    <cellStyle name="20% - akcent 2 3 13" xfId="2002"/>
    <cellStyle name="20% - akcent 2 3 13 2" xfId="2003"/>
    <cellStyle name="20% - akcent 2 3 13 2 2" xfId="2004"/>
    <cellStyle name="20% - akcent 2 3 13 2 2 2" xfId="2005"/>
    <cellStyle name="20% - akcent 2 3 13 2 3" xfId="2006"/>
    <cellStyle name="20% - akcent 2 3 13 2 3 2" xfId="2007"/>
    <cellStyle name="20% - akcent 2 3 13 2 4" xfId="2008"/>
    <cellStyle name="20% - akcent 2 3 13 3" xfId="2009"/>
    <cellStyle name="20% - akcent 2 3 13 3 2" xfId="2010"/>
    <cellStyle name="20% - akcent 2 3 13 4" xfId="2011"/>
    <cellStyle name="20% - akcent 2 3 13 4 2" xfId="2012"/>
    <cellStyle name="20% - akcent 2 3 13 5" xfId="2013"/>
    <cellStyle name="20% - akcent 2 3 14" xfId="2014"/>
    <cellStyle name="20% - akcent 2 3 14 2" xfId="2015"/>
    <cellStyle name="20% - akcent 2 3 14 2 2" xfId="2016"/>
    <cellStyle name="20% - akcent 2 3 14 3" xfId="2017"/>
    <cellStyle name="20% - akcent 2 3 14 3 2" xfId="2018"/>
    <cellStyle name="20% - akcent 2 3 14 4" xfId="2019"/>
    <cellStyle name="20% - akcent 2 3 15" xfId="2020"/>
    <cellStyle name="20% - akcent 2 3 15 2" xfId="2021"/>
    <cellStyle name="20% - akcent 2 3 15 2 2" xfId="2022"/>
    <cellStyle name="20% - akcent 2 3 15 3" xfId="2023"/>
    <cellStyle name="20% - akcent 2 3 15 3 2" xfId="2024"/>
    <cellStyle name="20% - akcent 2 3 15 4" xfId="2025"/>
    <cellStyle name="20% - akcent 2 3 16" xfId="2026"/>
    <cellStyle name="20% - akcent 2 3 16 2" xfId="2027"/>
    <cellStyle name="20% - akcent 2 3 17" xfId="2028"/>
    <cellStyle name="20% - akcent 2 3 17 2" xfId="2029"/>
    <cellStyle name="20% - akcent 2 3 18" xfId="2030"/>
    <cellStyle name="20% - akcent 2 3 18 2" xfId="2031"/>
    <cellStyle name="20% - akcent 2 3 19" xfId="2032"/>
    <cellStyle name="20% - akcent 2 3 2" xfId="2033"/>
    <cellStyle name="20% - akcent 2 3 2 10" xfId="2034"/>
    <cellStyle name="20% - akcent 2 3 2 10 2" xfId="2035"/>
    <cellStyle name="20% - akcent 2 3 2 10 2 2" xfId="2036"/>
    <cellStyle name="20% - akcent 2 3 2 10 2 2 2" xfId="2037"/>
    <cellStyle name="20% - akcent 2 3 2 10 2 3" xfId="2038"/>
    <cellStyle name="20% - akcent 2 3 2 10 2 3 2" xfId="2039"/>
    <cellStyle name="20% - akcent 2 3 2 10 2 4" xfId="2040"/>
    <cellStyle name="20% - akcent 2 3 2 10 3" xfId="2041"/>
    <cellStyle name="20% - akcent 2 3 2 10 3 2" xfId="2042"/>
    <cellStyle name="20% - akcent 2 3 2 10 4" xfId="2043"/>
    <cellStyle name="20% - akcent 2 3 2 10 4 2" xfId="2044"/>
    <cellStyle name="20% - akcent 2 3 2 10 5" xfId="2045"/>
    <cellStyle name="20% - akcent 2 3 2 11" xfId="2046"/>
    <cellStyle name="20% - akcent 2 3 2 11 2" xfId="2047"/>
    <cellStyle name="20% - akcent 2 3 2 11 2 2" xfId="2048"/>
    <cellStyle name="20% - akcent 2 3 2 11 3" xfId="2049"/>
    <cellStyle name="20% - akcent 2 3 2 11 3 2" xfId="2050"/>
    <cellStyle name="20% - akcent 2 3 2 11 4" xfId="2051"/>
    <cellStyle name="20% - akcent 2 3 2 12" xfId="2052"/>
    <cellStyle name="20% - akcent 2 3 2 12 2" xfId="2053"/>
    <cellStyle name="20% - akcent 2 3 2 12 2 2" xfId="2054"/>
    <cellStyle name="20% - akcent 2 3 2 12 3" xfId="2055"/>
    <cellStyle name="20% - akcent 2 3 2 12 3 2" xfId="2056"/>
    <cellStyle name="20% - akcent 2 3 2 12 4" xfId="2057"/>
    <cellStyle name="20% - akcent 2 3 2 13" xfId="2058"/>
    <cellStyle name="20% - akcent 2 3 2 13 2" xfId="2059"/>
    <cellStyle name="20% - akcent 2 3 2 14" xfId="2060"/>
    <cellStyle name="20% - akcent 2 3 2 14 2" xfId="2061"/>
    <cellStyle name="20% - akcent 2 3 2 15" xfId="2062"/>
    <cellStyle name="20% - akcent 2 3 2 15 2" xfId="2063"/>
    <cellStyle name="20% - akcent 2 3 2 16" xfId="2064"/>
    <cellStyle name="20% - akcent 2 3 2 2" xfId="2065"/>
    <cellStyle name="20% - akcent 2 3 2 2 10" xfId="2066"/>
    <cellStyle name="20% - akcent 2 3 2 2 10 2" xfId="2067"/>
    <cellStyle name="20% - akcent 2 3 2 2 11" xfId="2068"/>
    <cellStyle name="20% - akcent 2 3 2 2 11 2" xfId="2069"/>
    <cellStyle name="20% - akcent 2 3 2 2 12" xfId="2070"/>
    <cellStyle name="20% - akcent 2 3 2 2 2" xfId="2071"/>
    <cellStyle name="20% - akcent 2 3 2 2 2 10" xfId="2072"/>
    <cellStyle name="20% - akcent 2 3 2 2 2 2" xfId="2073"/>
    <cellStyle name="20% - akcent 2 3 2 2 2 2 2" xfId="2074"/>
    <cellStyle name="20% - akcent 2 3 2 2 2 2 2 2" xfId="2075"/>
    <cellStyle name="20% - akcent 2 3 2 2 2 2 2 2 2" xfId="2076"/>
    <cellStyle name="20% - akcent 2 3 2 2 2 2 2 2 2 2" xfId="2077"/>
    <cellStyle name="20% - akcent 2 3 2 2 2 2 2 2 3" xfId="2078"/>
    <cellStyle name="20% - akcent 2 3 2 2 2 2 2 2 3 2" xfId="2079"/>
    <cellStyle name="20% - akcent 2 3 2 2 2 2 2 2 4" xfId="2080"/>
    <cellStyle name="20% - akcent 2 3 2 2 2 2 2 3" xfId="2081"/>
    <cellStyle name="20% - akcent 2 3 2 2 2 2 2 3 2" xfId="2082"/>
    <cellStyle name="20% - akcent 2 3 2 2 2 2 2 4" xfId="2083"/>
    <cellStyle name="20% - akcent 2 3 2 2 2 2 2 4 2" xfId="2084"/>
    <cellStyle name="20% - akcent 2 3 2 2 2 2 2 5" xfId="2085"/>
    <cellStyle name="20% - akcent 2 3 2 2 2 2 3" xfId="2086"/>
    <cellStyle name="20% - akcent 2 3 2 2 2 2 3 2" xfId="2087"/>
    <cellStyle name="20% - akcent 2 3 2 2 2 2 3 2 2" xfId="2088"/>
    <cellStyle name="20% - akcent 2 3 2 2 2 2 3 2 2 2" xfId="2089"/>
    <cellStyle name="20% - akcent 2 3 2 2 2 2 3 2 3" xfId="2090"/>
    <cellStyle name="20% - akcent 2 3 2 2 2 2 3 2 3 2" xfId="2091"/>
    <cellStyle name="20% - akcent 2 3 2 2 2 2 3 2 4" xfId="2092"/>
    <cellStyle name="20% - akcent 2 3 2 2 2 2 3 3" xfId="2093"/>
    <cellStyle name="20% - akcent 2 3 2 2 2 2 3 3 2" xfId="2094"/>
    <cellStyle name="20% - akcent 2 3 2 2 2 2 3 4" xfId="2095"/>
    <cellStyle name="20% - akcent 2 3 2 2 2 2 3 4 2" xfId="2096"/>
    <cellStyle name="20% - akcent 2 3 2 2 2 2 3 5" xfId="2097"/>
    <cellStyle name="20% - akcent 2 3 2 2 2 2 4" xfId="2098"/>
    <cellStyle name="20% - akcent 2 3 2 2 2 2 4 2" xfId="2099"/>
    <cellStyle name="20% - akcent 2 3 2 2 2 2 4 2 2" xfId="2100"/>
    <cellStyle name="20% - akcent 2 3 2 2 2 2 4 2 2 2" xfId="2101"/>
    <cellStyle name="20% - akcent 2 3 2 2 2 2 4 2 3" xfId="2102"/>
    <cellStyle name="20% - akcent 2 3 2 2 2 2 4 2 3 2" xfId="2103"/>
    <cellStyle name="20% - akcent 2 3 2 2 2 2 4 2 4" xfId="2104"/>
    <cellStyle name="20% - akcent 2 3 2 2 2 2 4 3" xfId="2105"/>
    <cellStyle name="20% - akcent 2 3 2 2 2 2 4 3 2" xfId="2106"/>
    <cellStyle name="20% - akcent 2 3 2 2 2 2 4 4" xfId="2107"/>
    <cellStyle name="20% - akcent 2 3 2 2 2 2 4 4 2" xfId="2108"/>
    <cellStyle name="20% - akcent 2 3 2 2 2 2 4 5" xfId="2109"/>
    <cellStyle name="20% - akcent 2 3 2 2 2 2 5" xfId="2110"/>
    <cellStyle name="20% - akcent 2 3 2 2 2 2 5 2" xfId="2111"/>
    <cellStyle name="20% - akcent 2 3 2 2 2 2 5 2 2" xfId="2112"/>
    <cellStyle name="20% - akcent 2 3 2 2 2 2 5 3" xfId="2113"/>
    <cellStyle name="20% - akcent 2 3 2 2 2 2 5 3 2" xfId="2114"/>
    <cellStyle name="20% - akcent 2 3 2 2 2 2 5 4" xfId="2115"/>
    <cellStyle name="20% - akcent 2 3 2 2 2 2 6" xfId="2116"/>
    <cellStyle name="20% - akcent 2 3 2 2 2 2 6 2" xfId="2117"/>
    <cellStyle name="20% - akcent 2 3 2 2 2 2 7" xfId="2118"/>
    <cellStyle name="20% - akcent 2 3 2 2 2 2 7 2" xfId="2119"/>
    <cellStyle name="20% - akcent 2 3 2 2 2 2 8" xfId="2120"/>
    <cellStyle name="20% - akcent 2 3 2 2 2 3" xfId="2121"/>
    <cellStyle name="20% - akcent 2 3 2 2 2 3 2" xfId="2122"/>
    <cellStyle name="20% - akcent 2 3 2 2 2 3 2 2" xfId="2123"/>
    <cellStyle name="20% - akcent 2 3 2 2 2 3 2 2 2" xfId="2124"/>
    <cellStyle name="20% - akcent 2 3 2 2 2 3 2 2 2 2" xfId="2125"/>
    <cellStyle name="20% - akcent 2 3 2 2 2 3 2 2 3" xfId="2126"/>
    <cellStyle name="20% - akcent 2 3 2 2 2 3 2 2 3 2" xfId="2127"/>
    <cellStyle name="20% - akcent 2 3 2 2 2 3 2 2 4" xfId="2128"/>
    <cellStyle name="20% - akcent 2 3 2 2 2 3 2 3" xfId="2129"/>
    <cellStyle name="20% - akcent 2 3 2 2 2 3 2 3 2" xfId="2130"/>
    <cellStyle name="20% - akcent 2 3 2 2 2 3 2 4" xfId="2131"/>
    <cellStyle name="20% - akcent 2 3 2 2 2 3 2 4 2" xfId="2132"/>
    <cellStyle name="20% - akcent 2 3 2 2 2 3 2 5" xfId="2133"/>
    <cellStyle name="20% - akcent 2 3 2 2 2 3 3" xfId="2134"/>
    <cellStyle name="20% - akcent 2 3 2 2 2 3 3 2" xfId="2135"/>
    <cellStyle name="20% - akcent 2 3 2 2 2 3 3 2 2" xfId="2136"/>
    <cellStyle name="20% - akcent 2 3 2 2 2 3 3 2 2 2" xfId="2137"/>
    <cellStyle name="20% - akcent 2 3 2 2 2 3 3 2 3" xfId="2138"/>
    <cellStyle name="20% - akcent 2 3 2 2 2 3 3 2 3 2" xfId="2139"/>
    <cellStyle name="20% - akcent 2 3 2 2 2 3 3 2 4" xfId="2140"/>
    <cellStyle name="20% - akcent 2 3 2 2 2 3 3 3" xfId="2141"/>
    <cellStyle name="20% - akcent 2 3 2 2 2 3 3 3 2" xfId="2142"/>
    <cellStyle name="20% - akcent 2 3 2 2 2 3 3 4" xfId="2143"/>
    <cellStyle name="20% - akcent 2 3 2 2 2 3 3 4 2" xfId="2144"/>
    <cellStyle name="20% - akcent 2 3 2 2 2 3 3 5" xfId="2145"/>
    <cellStyle name="20% - akcent 2 3 2 2 2 3 4" xfId="2146"/>
    <cellStyle name="20% - akcent 2 3 2 2 2 3 4 2" xfId="2147"/>
    <cellStyle name="20% - akcent 2 3 2 2 2 3 4 2 2" xfId="2148"/>
    <cellStyle name="20% - akcent 2 3 2 2 2 3 4 2 2 2" xfId="2149"/>
    <cellStyle name="20% - akcent 2 3 2 2 2 3 4 2 3" xfId="2150"/>
    <cellStyle name="20% - akcent 2 3 2 2 2 3 4 2 3 2" xfId="2151"/>
    <cellStyle name="20% - akcent 2 3 2 2 2 3 4 2 4" xfId="2152"/>
    <cellStyle name="20% - akcent 2 3 2 2 2 3 4 3" xfId="2153"/>
    <cellStyle name="20% - akcent 2 3 2 2 2 3 4 3 2" xfId="2154"/>
    <cellStyle name="20% - akcent 2 3 2 2 2 3 4 4" xfId="2155"/>
    <cellStyle name="20% - akcent 2 3 2 2 2 3 4 4 2" xfId="2156"/>
    <cellStyle name="20% - akcent 2 3 2 2 2 3 4 5" xfId="2157"/>
    <cellStyle name="20% - akcent 2 3 2 2 2 3 5" xfId="2158"/>
    <cellStyle name="20% - akcent 2 3 2 2 2 3 5 2" xfId="2159"/>
    <cellStyle name="20% - akcent 2 3 2 2 2 3 5 2 2" xfId="2160"/>
    <cellStyle name="20% - akcent 2 3 2 2 2 3 5 3" xfId="2161"/>
    <cellStyle name="20% - akcent 2 3 2 2 2 3 5 3 2" xfId="2162"/>
    <cellStyle name="20% - akcent 2 3 2 2 2 3 5 4" xfId="2163"/>
    <cellStyle name="20% - akcent 2 3 2 2 2 3 6" xfId="2164"/>
    <cellStyle name="20% - akcent 2 3 2 2 2 3 6 2" xfId="2165"/>
    <cellStyle name="20% - akcent 2 3 2 2 2 3 7" xfId="2166"/>
    <cellStyle name="20% - akcent 2 3 2 2 2 3 7 2" xfId="2167"/>
    <cellStyle name="20% - akcent 2 3 2 2 2 3 8" xfId="2168"/>
    <cellStyle name="20% - akcent 2 3 2 2 2 4" xfId="2169"/>
    <cellStyle name="20% - akcent 2 3 2 2 2 4 2" xfId="2170"/>
    <cellStyle name="20% - akcent 2 3 2 2 2 4 2 2" xfId="2171"/>
    <cellStyle name="20% - akcent 2 3 2 2 2 4 2 2 2" xfId="2172"/>
    <cellStyle name="20% - akcent 2 3 2 2 2 4 2 3" xfId="2173"/>
    <cellStyle name="20% - akcent 2 3 2 2 2 4 2 3 2" xfId="2174"/>
    <cellStyle name="20% - akcent 2 3 2 2 2 4 2 4" xfId="2175"/>
    <cellStyle name="20% - akcent 2 3 2 2 2 4 3" xfId="2176"/>
    <cellStyle name="20% - akcent 2 3 2 2 2 4 3 2" xfId="2177"/>
    <cellStyle name="20% - akcent 2 3 2 2 2 4 4" xfId="2178"/>
    <cellStyle name="20% - akcent 2 3 2 2 2 4 4 2" xfId="2179"/>
    <cellStyle name="20% - akcent 2 3 2 2 2 4 5" xfId="2180"/>
    <cellStyle name="20% - akcent 2 3 2 2 2 5" xfId="2181"/>
    <cellStyle name="20% - akcent 2 3 2 2 2 5 2" xfId="2182"/>
    <cellStyle name="20% - akcent 2 3 2 2 2 5 2 2" xfId="2183"/>
    <cellStyle name="20% - akcent 2 3 2 2 2 5 2 2 2" xfId="2184"/>
    <cellStyle name="20% - akcent 2 3 2 2 2 5 2 3" xfId="2185"/>
    <cellStyle name="20% - akcent 2 3 2 2 2 5 2 3 2" xfId="2186"/>
    <cellStyle name="20% - akcent 2 3 2 2 2 5 2 4" xfId="2187"/>
    <cellStyle name="20% - akcent 2 3 2 2 2 5 3" xfId="2188"/>
    <cellStyle name="20% - akcent 2 3 2 2 2 5 3 2" xfId="2189"/>
    <cellStyle name="20% - akcent 2 3 2 2 2 5 4" xfId="2190"/>
    <cellStyle name="20% - akcent 2 3 2 2 2 5 4 2" xfId="2191"/>
    <cellStyle name="20% - akcent 2 3 2 2 2 5 5" xfId="2192"/>
    <cellStyle name="20% - akcent 2 3 2 2 2 6" xfId="2193"/>
    <cellStyle name="20% - akcent 2 3 2 2 2 6 2" xfId="2194"/>
    <cellStyle name="20% - akcent 2 3 2 2 2 6 2 2" xfId="2195"/>
    <cellStyle name="20% - akcent 2 3 2 2 2 6 2 2 2" xfId="2196"/>
    <cellStyle name="20% - akcent 2 3 2 2 2 6 2 3" xfId="2197"/>
    <cellStyle name="20% - akcent 2 3 2 2 2 6 2 3 2" xfId="2198"/>
    <cellStyle name="20% - akcent 2 3 2 2 2 6 2 4" xfId="2199"/>
    <cellStyle name="20% - akcent 2 3 2 2 2 6 3" xfId="2200"/>
    <cellStyle name="20% - akcent 2 3 2 2 2 6 3 2" xfId="2201"/>
    <cellStyle name="20% - akcent 2 3 2 2 2 6 4" xfId="2202"/>
    <cellStyle name="20% - akcent 2 3 2 2 2 6 4 2" xfId="2203"/>
    <cellStyle name="20% - akcent 2 3 2 2 2 6 5" xfId="2204"/>
    <cellStyle name="20% - akcent 2 3 2 2 2 7" xfId="2205"/>
    <cellStyle name="20% - akcent 2 3 2 2 2 7 2" xfId="2206"/>
    <cellStyle name="20% - akcent 2 3 2 2 2 7 2 2" xfId="2207"/>
    <cellStyle name="20% - akcent 2 3 2 2 2 7 3" xfId="2208"/>
    <cellStyle name="20% - akcent 2 3 2 2 2 7 3 2" xfId="2209"/>
    <cellStyle name="20% - akcent 2 3 2 2 2 7 4" xfId="2210"/>
    <cellStyle name="20% - akcent 2 3 2 2 2 8" xfId="2211"/>
    <cellStyle name="20% - akcent 2 3 2 2 2 8 2" xfId="2212"/>
    <cellStyle name="20% - akcent 2 3 2 2 2 9" xfId="2213"/>
    <cellStyle name="20% - akcent 2 3 2 2 2 9 2" xfId="2214"/>
    <cellStyle name="20% - akcent 2 3 2 2 3" xfId="2215"/>
    <cellStyle name="20% - akcent 2 3 2 2 3 2" xfId="2216"/>
    <cellStyle name="20% - akcent 2 3 2 2 3 2 2" xfId="2217"/>
    <cellStyle name="20% - akcent 2 3 2 2 3 2 2 2" xfId="2218"/>
    <cellStyle name="20% - akcent 2 3 2 2 3 2 2 2 2" xfId="2219"/>
    <cellStyle name="20% - akcent 2 3 2 2 3 2 2 3" xfId="2220"/>
    <cellStyle name="20% - akcent 2 3 2 2 3 2 2 3 2" xfId="2221"/>
    <cellStyle name="20% - akcent 2 3 2 2 3 2 2 4" xfId="2222"/>
    <cellStyle name="20% - akcent 2 3 2 2 3 2 3" xfId="2223"/>
    <cellStyle name="20% - akcent 2 3 2 2 3 2 3 2" xfId="2224"/>
    <cellStyle name="20% - akcent 2 3 2 2 3 2 4" xfId="2225"/>
    <cellStyle name="20% - akcent 2 3 2 2 3 2 4 2" xfId="2226"/>
    <cellStyle name="20% - akcent 2 3 2 2 3 2 5" xfId="2227"/>
    <cellStyle name="20% - akcent 2 3 2 2 3 3" xfId="2228"/>
    <cellStyle name="20% - akcent 2 3 2 2 3 3 2" xfId="2229"/>
    <cellStyle name="20% - akcent 2 3 2 2 3 3 2 2" xfId="2230"/>
    <cellStyle name="20% - akcent 2 3 2 2 3 3 2 2 2" xfId="2231"/>
    <cellStyle name="20% - akcent 2 3 2 2 3 3 2 3" xfId="2232"/>
    <cellStyle name="20% - akcent 2 3 2 2 3 3 2 3 2" xfId="2233"/>
    <cellStyle name="20% - akcent 2 3 2 2 3 3 2 4" xfId="2234"/>
    <cellStyle name="20% - akcent 2 3 2 2 3 3 3" xfId="2235"/>
    <cellStyle name="20% - akcent 2 3 2 2 3 3 3 2" xfId="2236"/>
    <cellStyle name="20% - akcent 2 3 2 2 3 3 4" xfId="2237"/>
    <cellStyle name="20% - akcent 2 3 2 2 3 3 4 2" xfId="2238"/>
    <cellStyle name="20% - akcent 2 3 2 2 3 3 5" xfId="2239"/>
    <cellStyle name="20% - akcent 2 3 2 2 3 4" xfId="2240"/>
    <cellStyle name="20% - akcent 2 3 2 2 3 4 2" xfId="2241"/>
    <cellStyle name="20% - akcent 2 3 2 2 3 4 2 2" xfId="2242"/>
    <cellStyle name="20% - akcent 2 3 2 2 3 4 2 2 2" xfId="2243"/>
    <cellStyle name="20% - akcent 2 3 2 2 3 4 2 3" xfId="2244"/>
    <cellStyle name="20% - akcent 2 3 2 2 3 4 2 3 2" xfId="2245"/>
    <cellStyle name="20% - akcent 2 3 2 2 3 4 2 4" xfId="2246"/>
    <cellStyle name="20% - akcent 2 3 2 2 3 4 3" xfId="2247"/>
    <cellStyle name="20% - akcent 2 3 2 2 3 4 3 2" xfId="2248"/>
    <cellStyle name="20% - akcent 2 3 2 2 3 4 4" xfId="2249"/>
    <cellStyle name="20% - akcent 2 3 2 2 3 4 4 2" xfId="2250"/>
    <cellStyle name="20% - akcent 2 3 2 2 3 4 5" xfId="2251"/>
    <cellStyle name="20% - akcent 2 3 2 2 3 5" xfId="2252"/>
    <cellStyle name="20% - akcent 2 3 2 2 3 5 2" xfId="2253"/>
    <cellStyle name="20% - akcent 2 3 2 2 3 5 2 2" xfId="2254"/>
    <cellStyle name="20% - akcent 2 3 2 2 3 5 3" xfId="2255"/>
    <cellStyle name="20% - akcent 2 3 2 2 3 5 3 2" xfId="2256"/>
    <cellStyle name="20% - akcent 2 3 2 2 3 5 4" xfId="2257"/>
    <cellStyle name="20% - akcent 2 3 2 2 3 6" xfId="2258"/>
    <cellStyle name="20% - akcent 2 3 2 2 3 6 2" xfId="2259"/>
    <cellStyle name="20% - akcent 2 3 2 2 3 7" xfId="2260"/>
    <cellStyle name="20% - akcent 2 3 2 2 3 7 2" xfId="2261"/>
    <cellStyle name="20% - akcent 2 3 2 2 3 8" xfId="2262"/>
    <cellStyle name="20% - akcent 2 3 2 2 4" xfId="2263"/>
    <cellStyle name="20% - akcent 2 3 2 2 4 2" xfId="2264"/>
    <cellStyle name="20% - akcent 2 3 2 2 4 2 2" xfId="2265"/>
    <cellStyle name="20% - akcent 2 3 2 2 4 2 2 2" xfId="2266"/>
    <cellStyle name="20% - akcent 2 3 2 2 4 2 2 2 2" xfId="2267"/>
    <cellStyle name="20% - akcent 2 3 2 2 4 2 2 3" xfId="2268"/>
    <cellStyle name="20% - akcent 2 3 2 2 4 2 2 3 2" xfId="2269"/>
    <cellStyle name="20% - akcent 2 3 2 2 4 2 2 4" xfId="2270"/>
    <cellStyle name="20% - akcent 2 3 2 2 4 2 3" xfId="2271"/>
    <cellStyle name="20% - akcent 2 3 2 2 4 2 3 2" xfId="2272"/>
    <cellStyle name="20% - akcent 2 3 2 2 4 2 4" xfId="2273"/>
    <cellStyle name="20% - akcent 2 3 2 2 4 2 4 2" xfId="2274"/>
    <cellStyle name="20% - akcent 2 3 2 2 4 2 5" xfId="2275"/>
    <cellStyle name="20% - akcent 2 3 2 2 4 3" xfId="2276"/>
    <cellStyle name="20% - akcent 2 3 2 2 4 3 2" xfId="2277"/>
    <cellStyle name="20% - akcent 2 3 2 2 4 3 2 2" xfId="2278"/>
    <cellStyle name="20% - akcent 2 3 2 2 4 3 2 2 2" xfId="2279"/>
    <cellStyle name="20% - akcent 2 3 2 2 4 3 2 3" xfId="2280"/>
    <cellStyle name="20% - akcent 2 3 2 2 4 3 2 3 2" xfId="2281"/>
    <cellStyle name="20% - akcent 2 3 2 2 4 3 2 4" xfId="2282"/>
    <cellStyle name="20% - akcent 2 3 2 2 4 3 3" xfId="2283"/>
    <cellStyle name="20% - akcent 2 3 2 2 4 3 3 2" xfId="2284"/>
    <cellStyle name="20% - akcent 2 3 2 2 4 3 4" xfId="2285"/>
    <cellStyle name="20% - akcent 2 3 2 2 4 3 4 2" xfId="2286"/>
    <cellStyle name="20% - akcent 2 3 2 2 4 3 5" xfId="2287"/>
    <cellStyle name="20% - akcent 2 3 2 2 4 4" xfId="2288"/>
    <cellStyle name="20% - akcent 2 3 2 2 4 4 2" xfId="2289"/>
    <cellStyle name="20% - akcent 2 3 2 2 4 4 2 2" xfId="2290"/>
    <cellStyle name="20% - akcent 2 3 2 2 4 4 2 2 2" xfId="2291"/>
    <cellStyle name="20% - akcent 2 3 2 2 4 4 2 3" xfId="2292"/>
    <cellStyle name="20% - akcent 2 3 2 2 4 4 2 3 2" xfId="2293"/>
    <cellStyle name="20% - akcent 2 3 2 2 4 4 2 4" xfId="2294"/>
    <cellStyle name="20% - akcent 2 3 2 2 4 4 3" xfId="2295"/>
    <cellStyle name="20% - akcent 2 3 2 2 4 4 3 2" xfId="2296"/>
    <cellStyle name="20% - akcent 2 3 2 2 4 4 4" xfId="2297"/>
    <cellStyle name="20% - akcent 2 3 2 2 4 4 4 2" xfId="2298"/>
    <cellStyle name="20% - akcent 2 3 2 2 4 4 5" xfId="2299"/>
    <cellStyle name="20% - akcent 2 3 2 2 4 5" xfId="2300"/>
    <cellStyle name="20% - akcent 2 3 2 2 4 5 2" xfId="2301"/>
    <cellStyle name="20% - akcent 2 3 2 2 4 5 2 2" xfId="2302"/>
    <cellStyle name="20% - akcent 2 3 2 2 4 5 3" xfId="2303"/>
    <cellStyle name="20% - akcent 2 3 2 2 4 5 3 2" xfId="2304"/>
    <cellStyle name="20% - akcent 2 3 2 2 4 5 4" xfId="2305"/>
    <cellStyle name="20% - akcent 2 3 2 2 4 6" xfId="2306"/>
    <cellStyle name="20% - akcent 2 3 2 2 4 6 2" xfId="2307"/>
    <cellStyle name="20% - akcent 2 3 2 2 4 7" xfId="2308"/>
    <cellStyle name="20% - akcent 2 3 2 2 4 7 2" xfId="2309"/>
    <cellStyle name="20% - akcent 2 3 2 2 4 8" xfId="2310"/>
    <cellStyle name="20% - akcent 2 3 2 2 5" xfId="2311"/>
    <cellStyle name="20% - akcent 2 3 2 2 5 2" xfId="2312"/>
    <cellStyle name="20% - akcent 2 3 2 2 5 2 2" xfId="2313"/>
    <cellStyle name="20% - akcent 2 3 2 2 5 2 2 2" xfId="2314"/>
    <cellStyle name="20% - akcent 2 3 2 2 5 2 2 2 2" xfId="2315"/>
    <cellStyle name="20% - akcent 2 3 2 2 5 2 2 3" xfId="2316"/>
    <cellStyle name="20% - akcent 2 3 2 2 5 2 2 3 2" xfId="2317"/>
    <cellStyle name="20% - akcent 2 3 2 2 5 2 2 4" xfId="2318"/>
    <cellStyle name="20% - akcent 2 3 2 2 5 2 3" xfId="2319"/>
    <cellStyle name="20% - akcent 2 3 2 2 5 2 3 2" xfId="2320"/>
    <cellStyle name="20% - akcent 2 3 2 2 5 2 4" xfId="2321"/>
    <cellStyle name="20% - akcent 2 3 2 2 5 2 4 2" xfId="2322"/>
    <cellStyle name="20% - akcent 2 3 2 2 5 2 5" xfId="2323"/>
    <cellStyle name="20% - akcent 2 3 2 2 5 3" xfId="2324"/>
    <cellStyle name="20% - akcent 2 3 2 2 5 3 2" xfId="2325"/>
    <cellStyle name="20% - akcent 2 3 2 2 5 3 2 2" xfId="2326"/>
    <cellStyle name="20% - akcent 2 3 2 2 5 3 3" xfId="2327"/>
    <cellStyle name="20% - akcent 2 3 2 2 5 3 3 2" xfId="2328"/>
    <cellStyle name="20% - akcent 2 3 2 2 5 3 4" xfId="2329"/>
    <cellStyle name="20% - akcent 2 3 2 2 5 4" xfId="2330"/>
    <cellStyle name="20% - akcent 2 3 2 2 5 4 2" xfId="2331"/>
    <cellStyle name="20% - akcent 2 3 2 2 5 5" xfId="2332"/>
    <cellStyle name="20% - akcent 2 3 2 2 5 5 2" xfId="2333"/>
    <cellStyle name="20% - akcent 2 3 2 2 5 6" xfId="2334"/>
    <cellStyle name="20% - akcent 2 3 2 2 6" xfId="2335"/>
    <cellStyle name="20% - akcent 2 3 2 2 6 2" xfId="2336"/>
    <cellStyle name="20% - akcent 2 3 2 2 6 2 2" xfId="2337"/>
    <cellStyle name="20% - akcent 2 3 2 2 6 2 2 2" xfId="2338"/>
    <cellStyle name="20% - akcent 2 3 2 2 6 2 3" xfId="2339"/>
    <cellStyle name="20% - akcent 2 3 2 2 6 2 3 2" xfId="2340"/>
    <cellStyle name="20% - akcent 2 3 2 2 6 2 4" xfId="2341"/>
    <cellStyle name="20% - akcent 2 3 2 2 6 3" xfId="2342"/>
    <cellStyle name="20% - akcent 2 3 2 2 6 3 2" xfId="2343"/>
    <cellStyle name="20% - akcent 2 3 2 2 6 4" xfId="2344"/>
    <cellStyle name="20% - akcent 2 3 2 2 6 4 2" xfId="2345"/>
    <cellStyle name="20% - akcent 2 3 2 2 6 5" xfId="2346"/>
    <cellStyle name="20% - akcent 2 3 2 2 7" xfId="2347"/>
    <cellStyle name="20% - akcent 2 3 2 2 7 2" xfId="2348"/>
    <cellStyle name="20% - akcent 2 3 2 2 7 2 2" xfId="2349"/>
    <cellStyle name="20% - akcent 2 3 2 2 7 2 2 2" xfId="2350"/>
    <cellStyle name="20% - akcent 2 3 2 2 7 2 3" xfId="2351"/>
    <cellStyle name="20% - akcent 2 3 2 2 7 2 3 2" xfId="2352"/>
    <cellStyle name="20% - akcent 2 3 2 2 7 2 4" xfId="2353"/>
    <cellStyle name="20% - akcent 2 3 2 2 7 3" xfId="2354"/>
    <cellStyle name="20% - akcent 2 3 2 2 7 3 2" xfId="2355"/>
    <cellStyle name="20% - akcent 2 3 2 2 7 4" xfId="2356"/>
    <cellStyle name="20% - akcent 2 3 2 2 7 4 2" xfId="2357"/>
    <cellStyle name="20% - akcent 2 3 2 2 7 5" xfId="2358"/>
    <cellStyle name="20% - akcent 2 3 2 2 8" xfId="2359"/>
    <cellStyle name="20% - akcent 2 3 2 2 8 2" xfId="2360"/>
    <cellStyle name="20% - akcent 2 3 2 2 8 2 2" xfId="2361"/>
    <cellStyle name="20% - akcent 2 3 2 2 8 2 2 2" xfId="2362"/>
    <cellStyle name="20% - akcent 2 3 2 2 8 2 3" xfId="2363"/>
    <cellStyle name="20% - akcent 2 3 2 2 8 2 3 2" xfId="2364"/>
    <cellStyle name="20% - akcent 2 3 2 2 8 2 4" xfId="2365"/>
    <cellStyle name="20% - akcent 2 3 2 2 8 3" xfId="2366"/>
    <cellStyle name="20% - akcent 2 3 2 2 8 3 2" xfId="2367"/>
    <cellStyle name="20% - akcent 2 3 2 2 8 4" xfId="2368"/>
    <cellStyle name="20% - akcent 2 3 2 2 8 4 2" xfId="2369"/>
    <cellStyle name="20% - akcent 2 3 2 2 8 5" xfId="2370"/>
    <cellStyle name="20% - akcent 2 3 2 2 9" xfId="2371"/>
    <cellStyle name="20% - akcent 2 3 2 2 9 2" xfId="2372"/>
    <cellStyle name="20% - akcent 2 3 2 2 9 2 2" xfId="2373"/>
    <cellStyle name="20% - akcent 2 3 2 2 9 3" xfId="2374"/>
    <cellStyle name="20% - akcent 2 3 2 2 9 3 2" xfId="2375"/>
    <cellStyle name="20% - akcent 2 3 2 2 9 4" xfId="2376"/>
    <cellStyle name="20% - akcent 2 3 2 3" xfId="2377"/>
    <cellStyle name="20% - akcent 2 3 2 3 10" xfId="2378"/>
    <cellStyle name="20% - akcent 2 3 2 3 10 2" xfId="2379"/>
    <cellStyle name="20% - akcent 2 3 2 3 11" xfId="2380"/>
    <cellStyle name="20% - akcent 2 3 2 3 2" xfId="2381"/>
    <cellStyle name="20% - akcent 2 3 2 3 2 2" xfId="2382"/>
    <cellStyle name="20% - akcent 2 3 2 3 2 2 2" xfId="2383"/>
    <cellStyle name="20% - akcent 2 3 2 3 2 2 2 2" xfId="2384"/>
    <cellStyle name="20% - akcent 2 3 2 3 2 2 2 2 2" xfId="2385"/>
    <cellStyle name="20% - akcent 2 3 2 3 2 2 2 3" xfId="2386"/>
    <cellStyle name="20% - akcent 2 3 2 3 2 2 2 3 2" xfId="2387"/>
    <cellStyle name="20% - akcent 2 3 2 3 2 2 2 4" xfId="2388"/>
    <cellStyle name="20% - akcent 2 3 2 3 2 2 3" xfId="2389"/>
    <cellStyle name="20% - akcent 2 3 2 3 2 2 3 2" xfId="2390"/>
    <cellStyle name="20% - akcent 2 3 2 3 2 2 4" xfId="2391"/>
    <cellStyle name="20% - akcent 2 3 2 3 2 2 4 2" xfId="2392"/>
    <cellStyle name="20% - akcent 2 3 2 3 2 2 5" xfId="2393"/>
    <cellStyle name="20% - akcent 2 3 2 3 2 3" xfId="2394"/>
    <cellStyle name="20% - akcent 2 3 2 3 2 3 2" xfId="2395"/>
    <cellStyle name="20% - akcent 2 3 2 3 2 3 2 2" xfId="2396"/>
    <cellStyle name="20% - akcent 2 3 2 3 2 3 2 2 2" xfId="2397"/>
    <cellStyle name="20% - akcent 2 3 2 3 2 3 2 3" xfId="2398"/>
    <cellStyle name="20% - akcent 2 3 2 3 2 3 2 3 2" xfId="2399"/>
    <cellStyle name="20% - akcent 2 3 2 3 2 3 2 4" xfId="2400"/>
    <cellStyle name="20% - akcent 2 3 2 3 2 3 3" xfId="2401"/>
    <cellStyle name="20% - akcent 2 3 2 3 2 3 3 2" xfId="2402"/>
    <cellStyle name="20% - akcent 2 3 2 3 2 3 4" xfId="2403"/>
    <cellStyle name="20% - akcent 2 3 2 3 2 3 4 2" xfId="2404"/>
    <cellStyle name="20% - akcent 2 3 2 3 2 3 5" xfId="2405"/>
    <cellStyle name="20% - akcent 2 3 2 3 2 4" xfId="2406"/>
    <cellStyle name="20% - akcent 2 3 2 3 2 4 2" xfId="2407"/>
    <cellStyle name="20% - akcent 2 3 2 3 2 4 2 2" xfId="2408"/>
    <cellStyle name="20% - akcent 2 3 2 3 2 4 2 2 2" xfId="2409"/>
    <cellStyle name="20% - akcent 2 3 2 3 2 4 2 3" xfId="2410"/>
    <cellStyle name="20% - akcent 2 3 2 3 2 4 2 3 2" xfId="2411"/>
    <cellStyle name="20% - akcent 2 3 2 3 2 4 2 4" xfId="2412"/>
    <cellStyle name="20% - akcent 2 3 2 3 2 4 3" xfId="2413"/>
    <cellStyle name="20% - akcent 2 3 2 3 2 4 3 2" xfId="2414"/>
    <cellStyle name="20% - akcent 2 3 2 3 2 4 4" xfId="2415"/>
    <cellStyle name="20% - akcent 2 3 2 3 2 4 4 2" xfId="2416"/>
    <cellStyle name="20% - akcent 2 3 2 3 2 4 5" xfId="2417"/>
    <cellStyle name="20% - akcent 2 3 2 3 2 5" xfId="2418"/>
    <cellStyle name="20% - akcent 2 3 2 3 2 5 2" xfId="2419"/>
    <cellStyle name="20% - akcent 2 3 2 3 2 5 2 2" xfId="2420"/>
    <cellStyle name="20% - akcent 2 3 2 3 2 5 3" xfId="2421"/>
    <cellStyle name="20% - akcent 2 3 2 3 2 5 3 2" xfId="2422"/>
    <cellStyle name="20% - akcent 2 3 2 3 2 5 4" xfId="2423"/>
    <cellStyle name="20% - akcent 2 3 2 3 2 6" xfId="2424"/>
    <cellStyle name="20% - akcent 2 3 2 3 2 6 2" xfId="2425"/>
    <cellStyle name="20% - akcent 2 3 2 3 2 7" xfId="2426"/>
    <cellStyle name="20% - akcent 2 3 2 3 2 7 2" xfId="2427"/>
    <cellStyle name="20% - akcent 2 3 2 3 2 8" xfId="2428"/>
    <cellStyle name="20% - akcent 2 3 2 3 3" xfId="2429"/>
    <cellStyle name="20% - akcent 2 3 2 3 3 2" xfId="2430"/>
    <cellStyle name="20% - akcent 2 3 2 3 3 2 2" xfId="2431"/>
    <cellStyle name="20% - akcent 2 3 2 3 3 2 2 2" xfId="2432"/>
    <cellStyle name="20% - akcent 2 3 2 3 3 2 2 2 2" xfId="2433"/>
    <cellStyle name="20% - akcent 2 3 2 3 3 2 2 3" xfId="2434"/>
    <cellStyle name="20% - akcent 2 3 2 3 3 2 2 3 2" xfId="2435"/>
    <cellStyle name="20% - akcent 2 3 2 3 3 2 2 4" xfId="2436"/>
    <cellStyle name="20% - akcent 2 3 2 3 3 2 3" xfId="2437"/>
    <cellStyle name="20% - akcent 2 3 2 3 3 2 3 2" xfId="2438"/>
    <cellStyle name="20% - akcent 2 3 2 3 3 2 4" xfId="2439"/>
    <cellStyle name="20% - akcent 2 3 2 3 3 2 4 2" xfId="2440"/>
    <cellStyle name="20% - akcent 2 3 2 3 3 2 5" xfId="2441"/>
    <cellStyle name="20% - akcent 2 3 2 3 3 3" xfId="2442"/>
    <cellStyle name="20% - akcent 2 3 2 3 3 3 2" xfId="2443"/>
    <cellStyle name="20% - akcent 2 3 2 3 3 3 2 2" xfId="2444"/>
    <cellStyle name="20% - akcent 2 3 2 3 3 3 2 2 2" xfId="2445"/>
    <cellStyle name="20% - akcent 2 3 2 3 3 3 2 3" xfId="2446"/>
    <cellStyle name="20% - akcent 2 3 2 3 3 3 2 3 2" xfId="2447"/>
    <cellStyle name="20% - akcent 2 3 2 3 3 3 2 4" xfId="2448"/>
    <cellStyle name="20% - akcent 2 3 2 3 3 3 3" xfId="2449"/>
    <cellStyle name="20% - akcent 2 3 2 3 3 3 3 2" xfId="2450"/>
    <cellStyle name="20% - akcent 2 3 2 3 3 3 4" xfId="2451"/>
    <cellStyle name="20% - akcent 2 3 2 3 3 3 4 2" xfId="2452"/>
    <cellStyle name="20% - akcent 2 3 2 3 3 3 5" xfId="2453"/>
    <cellStyle name="20% - akcent 2 3 2 3 3 4" xfId="2454"/>
    <cellStyle name="20% - akcent 2 3 2 3 3 4 2" xfId="2455"/>
    <cellStyle name="20% - akcent 2 3 2 3 3 4 2 2" xfId="2456"/>
    <cellStyle name="20% - akcent 2 3 2 3 3 4 2 2 2" xfId="2457"/>
    <cellStyle name="20% - akcent 2 3 2 3 3 4 2 3" xfId="2458"/>
    <cellStyle name="20% - akcent 2 3 2 3 3 4 2 3 2" xfId="2459"/>
    <cellStyle name="20% - akcent 2 3 2 3 3 4 2 4" xfId="2460"/>
    <cellStyle name="20% - akcent 2 3 2 3 3 4 3" xfId="2461"/>
    <cellStyle name="20% - akcent 2 3 2 3 3 4 3 2" xfId="2462"/>
    <cellStyle name="20% - akcent 2 3 2 3 3 4 4" xfId="2463"/>
    <cellStyle name="20% - akcent 2 3 2 3 3 4 4 2" xfId="2464"/>
    <cellStyle name="20% - akcent 2 3 2 3 3 4 5" xfId="2465"/>
    <cellStyle name="20% - akcent 2 3 2 3 3 5" xfId="2466"/>
    <cellStyle name="20% - akcent 2 3 2 3 3 5 2" xfId="2467"/>
    <cellStyle name="20% - akcent 2 3 2 3 3 5 2 2" xfId="2468"/>
    <cellStyle name="20% - akcent 2 3 2 3 3 5 3" xfId="2469"/>
    <cellStyle name="20% - akcent 2 3 2 3 3 5 3 2" xfId="2470"/>
    <cellStyle name="20% - akcent 2 3 2 3 3 5 4" xfId="2471"/>
    <cellStyle name="20% - akcent 2 3 2 3 3 6" xfId="2472"/>
    <cellStyle name="20% - akcent 2 3 2 3 3 6 2" xfId="2473"/>
    <cellStyle name="20% - akcent 2 3 2 3 3 7" xfId="2474"/>
    <cellStyle name="20% - akcent 2 3 2 3 3 7 2" xfId="2475"/>
    <cellStyle name="20% - akcent 2 3 2 3 3 8" xfId="2476"/>
    <cellStyle name="20% - akcent 2 3 2 3 4" xfId="2477"/>
    <cellStyle name="20% - akcent 2 3 2 3 4 2" xfId="2478"/>
    <cellStyle name="20% - akcent 2 3 2 3 4 2 2" xfId="2479"/>
    <cellStyle name="20% - akcent 2 3 2 3 4 2 2 2" xfId="2480"/>
    <cellStyle name="20% - akcent 2 3 2 3 4 2 2 2 2" xfId="2481"/>
    <cellStyle name="20% - akcent 2 3 2 3 4 2 2 3" xfId="2482"/>
    <cellStyle name="20% - akcent 2 3 2 3 4 2 2 3 2" xfId="2483"/>
    <cellStyle name="20% - akcent 2 3 2 3 4 2 2 4" xfId="2484"/>
    <cellStyle name="20% - akcent 2 3 2 3 4 2 3" xfId="2485"/>
    <cellStyle name="20% - akcent 2 3 2 3 4 2 3 2" xfId="2486"/>
    <cellStyle name="20% - akcent 2 3 2 3 4 2 4" xfId="2487"/>
    <cellStyle name="20% - akcent 2 3 2 3 4 2 4 2" xfId="2488"/>
    <cellStyle name="20% - akcent 2 3 2 3 4 2 5" xfId="2489"/>
    <cellStyle name="20% - akcent 2 3 2 3 4 3" xfId="2490"/>
    <cellStyle name="20% - akcent 2 3 2 3 4 3 2" xfId="2491"/>
    <cellStyle name="20% - akcent 2 3 2 3 4 3 2 2" xfId="2492"/>
    <cellStyle name="20% - akcent 2 3 2 3 4 3 3" xfId="2493"/>
    <cellStyle name="20% - akcent 2 3 2 3 4 3 3 2" xfId="2494"/>
    <cellStyle name="20% - akcent 2 3 2 3 4 3 4" xfId="2495"/>
    <cellStyle name="20% - akcent 2 3 2 3 4 4" xfId="2496"/>
    <cellStyle name="20% - akcent 2 3 2 3 4 4 2" xfId="2497"/>
    <cellStyle name="20% - akcent 2 3 2 3 4 5" xfId="2498"/>
    <cellStyle name="20% - akcent 2 3 2 3 4 5 2" xfId="2499"/>
    <cellStyle name="20% - akcent 2 3 2 3 4 6" xfId="2500"/>
    <cellStyle name="20% - akcent 2 3 2 3 5" xfId="2501"/>
    <cellStyle name="20% - akcent 2 3 2 3 5 2" xfId="2502"/>
    <cellStyle name="20% - akcent 2 3 2 3 5 2 2" xfId="2503"/>
    <cellStyle name="20% - akcent 2 3 2 3 5 2 2 2" xfId="2504"/>
    <cellStyle name="20% - akcent 2 3 2 3 5 2 3" xfId="2505"/>
    <cellStyle name="20% - akcent 2 3 2 3 5 2 3 2" xfId="2506"/>
    <cellStyle name="20% - akcent 2 3 2 3 5 2 4" xfId="2507"/>
    <cellStyle name="20% - akcent 2 3 2 3 5 3" xfId="2508"/>
    <cellStyle name="20% - akcent 2 3 2 3 5 3 2" xfId="2509"/>
    <cellStyle name="20% - akcent 2 3 2 3 5 4" xfId="2510"/>
    <cellStyle name="20% - akcent 2 3 2 3 5 4 2" xfId="2511"/>
    <cellStyle name="20% - akcent 2 3 2 3 5 5" xfId="2512"/>
    <cellStyle name="20% - akcent 2 3 2 3 6" xfId="2513"/>
    <cellStyle name="20% - akcent 2 3 2 3 6 2" xfId="2514"/>
    <cellStyle name="20% - akcent 2 3 2 3 6 2 2" xfId="2515"/>
    <cellStyle name="20% - akcent 2 3 2 3 6 2 2 2" xfId="2516"/>
    <cellStyle name="20% - akcent 2 3 2 3 6 2 3" xfId="2517"/>
    <cellStyle name="20% - akcent 2 3 2 3 6 2 3 2" xfId="2518"/>
    <cellStyle name="20% - akcent 2 3 2 3 6 2 4" xfId="2519"/>
    <cellStyle name="20% - akcent 2 3 2 3 6 3" xfId="2520"/>
    <cellStyle name="20% - akcent 2 3 2 3 6 3 2" xfId="2521"/>
    <cellStyle name="20% - akcent 2 3 2 3 6 4" xfId="2522"/>
    <cellStyle name="20% - akcent 2 3 2 3 6 4 2" xfId="2523"/>
    <cellStyle name="20% - akcent 2 3 2 3 6 5" xfId="2524"/>
    <cellStyle name="20% - akcent 2 3 2 3 7" xfId="2525"/>
    <cellStyle name="20% - akcent 2 3 2 3 7 2" xfId="2526"/>
    <cellStyle name="20% - akcent 2 3 2 3 7 2 2" xfId="2527"/>
    <cellStyle name="20% - akcent 2 3 2 3 7 2 2 2" xfId="2528"/>
    <cellStyle name="20% - akcent 2 3 2 3 7 2 3" xfId="2529"/>
    <cellStyle name="20% - akcent 2 3 2 3 7 2 3 2" xfId="2530"/>
    <cellStyle name="20% - akcent 2 3 2 3 7 2 4" xfId="2531"/>
    <cellStyle name="20% - akcent 2 3 2 3 7 3" xfId="2532"/>
    <cellStyle name="20% - akcent 2 3 2 3 7 3 2" xfId="2533"/>
    <cellStyle name="20% - akcent 2 3 2 3 7 4" xfId="2534"/>
    <cellStyle name="20% - akcent 2 3 2 3 7 4 2" xfId="2535"/>
    <cellStyle name="20% - akcent 2 3 2 3 7 5" xfId="2536"/>
    <cellStyle name="20% - akcent 2 3 2 3 8" xfId="2537"/>
    <cellStyle name="20% - akcent 2 3 2 3 8 2" xfId="2538"/>
    <cellStyle name="20% - akcent 2 3 2 3 8 2 2" xfId="2539"/>
    <cellStyle name="20% - akcent 2 3 2 3 8 3" xfId="2540"/>
    <cellStyle name="20% - akcent 2 3 2 3 8 3 2" xfId="2541"/>
    <cellStyle name="20% - akcent 2 3 2 3 8 4" xfId="2542"/>
    <cellStyle name="20% - akcent 2 3 2 3 9" xfId="2543"/>
    <cellStyle name="20% - akcent 2 3 2 3 9 2" xfId="2544"/>
    <cellStyle name="20% - akcent 2 3 2 4" xfId="2545"/>
    <cellStyle name="20% - akcent 2 3 2 4 10" xfId="2546"/>
    <cellStyle name="20% - akcent 2 3 2 4 2" xfId="2547"/>
    <cellStyle name="20% - akcent 2 3 2 4 2 2" xfId="2548"/>
    <cellStyle name="20% - akcent 2 3 2 4 2 2 2" xfId="2549"/>
    <cellStyle name="20% - akcent 2 3 2 4 2 2 2 2" xfId="2550"/>
    <cellStyle name="20% - akcent 2 3 2 4 2 2 2 2 2" xfId="2551"/>
    <cellStyle name="20% - akcent 2 3 2 4 2 2 2 3" xfId="2552"/>
    <cellStyle name="20% - akcent 2 3 2 4 2 2 2 3 2" xfId="2553"/>
    <cellStyle name="20% - akcent 2 3 2 4 2 2 2 4" xfId="2554"/>
    <cellStyle name="20% - akcent 2 3 2 4 2 2 3" xfId="2555"/>
    <cellStyle name="20% - akcent 2 3 2 4 2 2 3 2" xfId="2556"/>
    <cellStyle name="20% - akcent 2 3 2 4 2 2 4" xfId="2557"/>
    <cellStyle name="20% - akcent 2 3 2 4 2 2 4 2" xfId="2558"/>
    <cellStyle name="20% - akcent 2 3 2 4 2 2 5" xfId="2559"/>
    <cellStyle name="20% - akcent 2 3 2 4 2 3" xfId="2560"/>
    <cellStyle name="20% - akcent 2 3 2 4 2 3 2" xfId="2561"/>
    <cellStyle name="20% - akcent 2 3 2 4 2 3 2 2" xfId="2562"/>
    <cellStyle name="20% - akcent 2 3 2 4 2 3 2 2 2" xfId="2563"/>
    <cellStyle name="20% - akcent 2 3 2 4 2 3 2 3" xfId="2564"/>
    <cellStyle name="20% - akcent 2 3 2 4 2 3 2 3 2" xfId="2565"/>
    <cellStyle name="20% - akcent 2 3 2 4 2 3 2 4" xfId="2566"/>
    <cellStyle name="20% - akcent 2 3 2 4 2 3 3" xfId="2567"/>
    <cellStyle name="20% - akcent 2 3 2 4 2 3 3 2" xfId="2568"/>
    <cellStyle name="20% - akcent 2 3 2 4 2 3 4" xfId="2569"/>
    <cellStyle name="20% - akcent 2 3 2 4 2 3 4 2" xfId="2570"/>
    <cellStyle name="20% - akcent 2 3 2 4 2 3 5" xfId="2571"/>
    <cellStyle name="20% - akcent 2 3 2 4 2 4" xfId="2572"/>
    <cellStyle name="20% - akcent 2 3 2 4 2 4 2" xfId="2573"/>
    <cellStyle name="20% - akcent 2 3 2 4 2 4 2 2" xfId="2574"/>
    <cellStyle name="20% - akcent 2 3 2 4 2 4 2 2 2" xfId="2575"/>
    <cellStyle name="20% - akcent 2 3 2 4 2 4 2 3" xfId="2576"/>
    <cellStyle name="20% - akcent 2 3 2 4 2 4 2 3 2" xfId="2577"/>
    <cellStyle name="20% - akcent 2 3 2 4 2 4 2 4" xfId="2578"/>
    <cellStyle name="20% - akcent 2 3 2 4 2 4 3" xfId="2579"/>
    <cellStyle name="20% - akcent 2 3 2 4 2 4 3 2" xfId="2580"/>
    <cellStyle name="20% - akcent 2 3 2 4 2 4 4" xfId="2581"/>
    <cellStyle name="20% - akcent 2 3 2 4 2 4 4 2" xfId="2582"/>
    <cellStyle name="20% - akcent 2 3 2 4 2 4 5" xfId="2583"/>
    <cellStyle name="20% - akcent 2 3 2 4 2 5" xfId="2584"/>
    <cellStyle name="20% - akcent 2 3 2 4 2 5 2" xfId="2585"/>
    <cellStyle name="20% - akcent 2 3 2 4 2 5 2 2" xfId="2586"/>
    <cellStyle name="20% - akcent 2 3 2 4 2 5 3" xfId="2587"/>
    <cellStyle name="20% - akcent 2 3 2 4 2 5 3 2" xfId="2588"/>
    <cellStyle name="20% - akcent 2 3 2 4 2 5 4" xfId="2589"/>
    <cellStyle name="20% - akcent 2 3 2 4 2 6" xfId="2590"/>
    <cellStyle name="20% - akcent 2 3 2 4 2 6 2" xfId="2591"/>
    <cellStyle name="20% - akcent 2 3 2 4 2 7" xfId="2592"/>
    <cellStyle name="20% - akcent 2 3 2 4 2 7 2" xfId="2593"/>
    <cellStyle name="20% - akcent 2 3 2 4 2 8" xfId="2594"/>
    <cellStyle name="20% - akcent 2 3 2 4 3" xfId="2595"/>
    <cellStyle name="20% - akcent 2 3 2 4 3 2" xfId="2596"/>
    <cellStyle name="20% - akcent 2 3 2 4 3 2 2" xfId="2597"/>
    <cellStyle name="20% - akcent 2 3 2 4 3 2 2 2" xfId="2598"/>
    <cellStyle name="20% - akcent 2 3 2 4 3 2 2 2 2" xfId="2599"/>
    <cellStyle name="20% - akcent 2 3 2 4 3 2 2 3" xfId="2600"/>
    <cellStyle name="20% - akcent 2 3 2 4 3 2 2 3 2" xfId="2601"/>
    <cellStyle name="20% - akcent 2 3 2 4 3 2 2 4" xfId="2602"/>
    <cellStyle name="20% - akcent 2 3 2 4 3 2 3" xfId="2603"/>
    <cellStyle name="20% - akcent 2 3 2 4 3 2 3 2" xfId="2604"/>
    <cellStyle name="20% - akcent 2 3 2 4 3 2 4" xfId="2605"/>
    <cellStyle name="20% - akcent 2 3 2 4 3 2 4 2" xfId="2606"/>
    <cellStyle name="20% - akcent 2 3 2 4 3 2 5" xfId="2607"/>
    <cellStyle name="20% - akcent 2 3 2 4 3 3" xfId="2608"/>
    <cellStyle name="20% - akcent 2 3 2 4 3 3 2" xfId="2609"/>
    <cellStyle name="20% - akcent 2 3 2 4 3 3 2 2" xfId="2610"/>
    <cellStyle name="20% - akcent 2 3 2 4 3 3 2 2 2" xfId="2611"/>
    <cellStyle name="20% - akcent 2 3 2 4 3 3 2 3" xfId="2612"/>
    <cellStyle name="20% - akcent 2 3 2 4 3 3 2 3 2" xfId="2613"/>
    <cellStyle name="20% - akcent 2 3 2 4 3 3 2 4" xfId="2614"/>
    <cellStyle name="20% - akcent 2 3 2 4 3 3 3" xfId="2615"/>
    <cellStyle name="20% - akcent 2 3 2 4 3 3 3 2" xfId="2616"/>
    <cellStyle name="20% - akcent 2 3 2 4 3 3 4" xfId="2617"/>
    <cellStyle name="20% - akcent 2 3 2 4 3 3 4 2" xfId="2618"/>
    <cellStyle name="20% - akcent 2 3 2 4 3 3 5" xfId="2619"/>
    <cellStyle name="20% - akcent 2 3 2 4 3 4" xfId="2620"/>
    <cellStyle name="20% - akcent 2 3 2 4 3 4 2" xfId="2621"/>
    <cellStyle name="20% - akcent 2 3 2 4 3 4 2 2" xfId="2622"/>
    <cellStyle name="20% - akcent 2 3 2 4 3 4 2 2 2" xfId="2623"/>
    <cellStyle name="20% - akcent 2 3 2 4 3 4 2 3" xfId="2624"/>
    <cellStyle name="20% - akcent 2 3 2 4 3 4 2 3 2" xfId="2625"/>
    <cellStyle name="20% - akcent 2 3 2 4 3 4 2 4" xfId="2626"/>
    <cellStyle name="20% - akcent 2 3 2 4 3 4 3" xfId="2627"/>
    <cellStyle name="20% - akcent 2 3 2 4 3 4 3 2" xfId="2628"/>
    <cellStyle name="20% - akcent 2 3 2 4 3 4 4" xfId="2629"/>
    <cellStyle name="20% - akcent 2 3 2 4 3 4 4 2" xfId="2630"/>
    <cellStyle name="20% - akcent 2 3 2 4 3 4 5" xfId="2631"/>
    <cellStyle name="20% - akcent 2 3 2 4 3 5" xfId="2632"/>
    <cellStyle name="20% - akcent 2 3 2 4 3 5 2" xfId="2633"/>
    <cellStyle name="20% - akcent 2 3 2 4 3 5 2 2" xfId="2634"/>
    <cellStyle name="20% - akcent 2 3 2 4 3 5 3" xfId="2635"/>
    <cellStyle name="20% - akcent 2 3 2 4 3 5 3 2" xfId="2636"/>
    <cellStyle name="20% - akcent 2 3 2 4 3 5 4" xfId="2637"/>
    <cellStyle name="20% - akcent 2 3 2 4 3 6" xfId="2638"/>
    <cellStyle name="20% - akcent 2 3 2 4 3 6 2" xfId="2639"/>
    <cellStyle name="20% - akcent 2 3 2 4 3 7" xfId="2640"/>
    <cellStyle name="20% - akcent 2 3 2 4 3 7 2" xfId="2641"/>
    <cellStyle name="20% - akcent 2 3 2 4 3 8" xfId="2642"/>
    <cellStyle name="20% - akcent 2 3 2 4 4" xfId="2643"/>
    <cellStyle name="20% - akcent 2 3 2 4 4 2" xfId="2644"/>
    <cellStyle name="20% - akcent 2 3 2 4 4 2 2" xfId="2645"/>
    <cellStyle name="20% - akcent 2 3 2 4 4 2 2 2" xfId="2646"/>
    <cellStyle name="20% - akcent 2 3 2 4 4 2 3" xfId="2647"/>
    <cellStyle name="20% - akcent 2 3 2 4 4 2 3 2" xfId="2648"/>
    <cellStyle name="20% - akcent 2 3 2 4 4 2 4" xfId="2649"/>
    <cellStyle name="20% - akcent 2 3 2 4 4 3" xfId="2650"/>
    <cellStyle name="20% - akcent 2 3 2 4 4 3 2" xfId="2651"/>
    <cellStyle name="20% - akcent 2 3 2 4 4 4" xfId="2652"/>
    <cellStyle name="20% - akcent 2 3 2 4 4 4 2" xfId="2653"/>
    <cellStyle name="20% - akcent 2 3 2 4 4 5" xfId="2654"/>
    <cellStyle name="20% - akcent 2 3 2 4 5" xfId="2655"/>
    <cellStyle name="20% - akcent 2 3 2 4 5 2" xfId="2656"/>
    <cellStyle name="20% - akcent 2 3 2 4 5 2 2" xfId="2657"/>
    <cellStyle name="20% - akcent 2 3 2 4 5 2 2 2" xfId="2658"/>
    <cellStyle name="20% - akcent 2 3 2 4 5 2 3" xfId="2659"/>
    <cellStyle name="20% - akcent 2 3 2 4 5 2 3 2" xfId="2660"/>
    <cellStyle name="20% - akcent 2 3 2 4 5 2 4" xfId="2661"/>
    <cellStyle name="20% - akcent 2 3 2 4 5 3" xfId="2662"/>
    <cellStyle name="20% - akcent 2 3 2 4 5 3 2" xfId="2663"/>
    <cellStyle name="20% - akcent 2 3 2 4 5 4" xfId="2664"/>
    <cellStyle name="20% - akcent 2 3 2 4 5 4 2" xfId="2665"/>
    <cellStyle name="20% - akcent 2 3 2 4 5 5" xfId="2666"/>
    <cellStyle name="20% - akcent 2 3 2 4 6" xfId="2667"/>
    <cellStyle name="20% - akcent 2 3 2 4 6 2" xfId="2668"/>
    <cellStyle name="20% - akcent 2 3 2 4 6 2 2" xfId="2669"/>
    <cellStyle name="20% - akcent 2 3 2 4 6 2 2 2" xfId="2670"/>
    <cellStyle name="20% - akcent 2 3 2 4 6 2 3" xfId="2671"/>
    <cellStyle name="20% - akcent 2 3 2 4 6 2 3 2" xfId="2672"/>
    <cellStyle name="20% - akcent 2 3 2 4 6 2 4" xfId="2673"/>
    <cellStyle name="20% - akcent 2 3 2 4 6 3" xfId="2674"/>
    <cellStyle name="20% - akcent 2 3 2 4 6 3 2" xfId="2675"/>
    <cellStyle name="20% - akcent 2 3 2 4 6 4" xfId="2676"/>
    <cellStyle name="20% - akcent 2 3 2 4 6 4 2" xfId="2677"/>
    <cellStyle name="20% - akcent 2 3 2 4 6 5" xfId="2678"/>
    <cellStyle name="20% - akcent 2 3 2 4 7" xfId="2679"/>
    <cellStyle name="20% - akcent 2 3 2 4 7 2" xfId="2680"/>
    <cellStyle name="20% - akcent 2 3 2 4 7 2 2" xfId="2681"/>
    <cellStyle name="20% - akcent 2 3 2 4 7 3" xfId="2682"/>
    <cellStyle name="20% - akcent 2 3 2 4 7 3 2" xfId="2683"/>
    <cellStyle name="20% - akcent 2 3 2 4 7 4" xfId="2684"/>
    <cellStyle name="20% - akcent 2 3 2 4 8" xfId="2685"/>
    <cellStyle name="20% - akcent 2 3 2 4 8 2" xfId="2686"/>
    <cellStyle name="20% - akcent 2 3 2 4 9" xfId="2687"/>
    <cellStyle name="20% - akcent 2 3 2 4 9 2" xfId="2688"/>
    <cellStyle name="20% - akcent 2 3 2 5" xfId="2689"/>
    <cellStyle name="20% - akcent 2 3 2 5 2" xfId="2690"/>
    <cellStyle name="20% - akcent 2 3 2 5 2 2" xfId="2691"/>
    <cellStyle name="20% - akcent 2 3 2 5 2 2 2" xfId="2692"/>
    <cellStyle name="20% - akcent 2 3 2 5 2 2 2 2" xfId="2693"/>
    <cellStyle name="20% - akcent 2 3 2 5 2 2 3" xfId="2694"/>
    <cellStyle name="20% - akcent 2 3 2 5 2 2 3 2" xfId="2695"/>
    <cellStyle name="20% - akcent 2 3 2 5 2 2 4" xfId="2696"/>
    <cellStyle name="20% - akcent 2 3 2 5 2 3" xfId="2697"/>
    <cellStyle name="20% - akcent 2 3 2 5 2 3 2" xfId="2698"/>
    <cellStyle name="20% - akcent 2 3 2 5 2 4" xfId="2699"/>
    <cellStyle name="20% - akcent 2 3 2 5 2 4 2" xfId="2700"/>
    <cellStyle name="20% - akcent 2 3 2 5 2 5" xfId="2701"/>
    <cellStyle name="20% - akcent 2 3 2 5 3" xfId="2702"/>
    <cellStyle name="20% - akcent 2 3 2 5 3 2" xfId="2703"/>
    <cellStyle name="20% - akcent 2 3 2 5 3 2 2" xfId="2704"/>
    <cellStyle name="20% - akcent 2 3 2 5 3 2 2 2" xfId="2705"/>
    <cellStyle name="20% - akcent 2 3 2 5 3 2 3" xfId="2706"/>
    <cellStyle name="20% - akcent 2 3 2 5 3 2 3 2" xfId="2707"/>
    <cellStyle name="20% - akcent 2 3 2 5 3 2 4" xfId="2708"/>
    <cellStyle name="20% - akcent 2 3 2 5 3 3" xfId="2709"/>
    <cellStyle name="20% - akcent 2 3 2 5 3 3 2" xfId="2710"/>
    <cellStyle name="20% - akcent 2 3 2 5 3 4" xfId="2711"/>
    <cellStyle name="20% - akcent 2 3 2 5 3 4 2" xfId="2712"/>
    <cellStyle name="20% - akcent 2 3 2 5 3 5" xfId="2713"/>
    <cellStyle name="20% - akcent 2 3 2 5 4" xfId="2714"/>
    <cellStyle name="20% - akcent 2 3 2 5 4 2" xfId="2715"/>
    <cellStyle name="20% - akcent 2 3 2 5 4 2 2" xfId="2716"/>
    <cellStyle name="20% - akcent 2 3 2 5 4 2 2 2" xfId="2717"/>
    <cellStyle name="20% - akcent 2 3 2 5 4 2 3" xfId="2718"/>
    <cellStyle name="20% - akcent 2 3 2 5 4 2 3 2" xfId="2719"/>
    <cellStyle name="20% - akcent 2 3 2 5 4 2 4" xfId="2720"/>
    <cellStyle name="20% - akcent 2 3 2 5 4 3" xfId="2721"/>
    <cellStyle name="20% - akcent 2 3 2 5 4 3 2" xfId="2722"/>
    <cellStyle name="20% - akcent 2 3 2 5 4 4" xfId="2723"/>
    <cellStyle name="20% - akcent 2 3 2 5 4 4 2" xfId="2724"/>
    <cellStyle name="20% - akcent 2 3 2 5 4 5" xfId="2725"/>
    <cellStyle name="20% - akcent 2 3 2 5 5" xfId="2726"/>
    <cellStyle name="20% - akcent 2 3 2 5 5 2" xfId="2727"/>
    <cellStyle name="20% - akcent 2 3 2 5 5 2 2" xfId="2728"/>
    <cellStyle name="20% - akcent 2 3 2 5 5 3" xfId="2729"/>
    <cellStyle name="20% - akcent 2 3 2 5 5 3 2" xfId="2730"/>
    <cellStyle name="20% - akcent 2 3 2 5 5 4" xfId="2731"/>
    <cellStyle name="20% - akcent 2 3 2 5 6" xfId="2732"/>
    <cellStyle name="20% - akcent 2 3 2 5 6 2" xfId="2733"/>
    <cellStyle name="20% - akcent 2 3 2 5 7" xfId="2734"/>
    <cellStyle name="20% - akcent 2 3 2 5 7 2" xfId="2735"/>
    <cellStyle name="20% - akcent 2 3 2 5 8" xfId="2736"/>
    <cellStyle name="20% - akcent 2 3 2 6" xfId="2737"/>
    <cellStyle name="20% - akcent 2 3 2 6 2" xfId="2738"/>
    <cellStyle name="20% - akcent 2 3 2 6 2 2" xfId="2739"/>
    <cellStyle name="20% - akcent 2 3 2 6 2 2 2" xfId="2740"/>
    <cellStyle name="20% - akcent 2 3 2 6 2 2 2 2" xfId="2741"/>
    <cellStyle name="20% - akcent 2 3 2 6 2 2 3" xfId="2742"/>
    <cellStyle name="20% - akcent 2 3 2 6 2 2 3 2" xfId="2743"/>
    <cellStyle name="20% - akcent 2 3 2 6 2 2 4" xfId="2744"/>
    <cellStyle name="20% - akcent 2 3 2 6 2 3" xfId="2745"/>
    <cellStyle name="20% - akcent 2 3 2 6 2 3 2" xfId="2746"/>
    <cellStyle name="20% - akcent 2 3 2 6 2 4" xfId="2747"/>
    <cellStyle name="20% - akcent 2 3 2 6 2 4 2" xfId="2748"/>
    <cellStyle name="20% - akcent 2 3 2 6 2 5" xfId="2749"/>
    <cellStyle name="20% - akcent 2 3 2 6 3" xfId="2750"/>
    <cellStyle name="20% - akcent 2 3 2 6 3 2" xfId="2751"/>
    <cellStyle name="20% - akcent 2 3 2 6 3 2 2" xfId="2752"/>
    <cellStyle name="20% - akcent 2 3 2 6 3 2 2 2" xfId="2753"/>
    <cellStyle name="20% - akcent 2 3 2 6 3 2 3" xfId="2754"/>
    <cellStyle name="20% - akcent 2 3 2 6 3 2 3 2" xfId="2755"/>
    <cellStyle name="20% - akcent 2 3 2 6 3 2 4" xfId="2756"/>
    <cellStyle name="20% - akcent 2 3 2 6 3 3" xfId="2757"/>
    <cellStyle name="20% - akcent 2 3 2 6 3 3 2" xfId="2758"/>
    <cellStyle name="20% - akcent 2 3 2 6 3 4" xfId="2759"/>
    <cellStyle name="20% - akcent 2 3 2 6 3 4 2" xfId="2760"/>
    <cellStyle name="20% - akcent 2 3 2 6 3 5" xfId="2761"/>
    <cellStyle name="20% - akcent 2 3 2 6 4" xfId="2762"/>
    <cellStyle name="20% - akcent 2 3 2 6 4 2" xfId="2763"/>
    <cellStyle name="20% - akcent 2 3 2 6 4 2 2" xfId="2764"/>
    <cellStyle name="20% - akcent 2 3 2 6 4 2 2 2" xfId="2765"/>
    <cellStyle name="20% - akcent 2 3 2 6 4 2 3" xfId="2766"/>
    <cellStyle name="20% - akcent 2 3 2 6 4 2 3 2" xfId="2767"/>
    <cellStyle name="20% - akcent 2 3 2 6 4 2 4" xfId="2768"/>
    <cellStyle name="20% - akcent 2 3 2 6 4 3" xfId="2769"/>
    <cellStyle name="20% - akcent 2 3 2 6 4 3 2" xfId="2770"/>
    <cellStyle name="20% - akcent 2 3 2 6 4 4" xfId="2771"/>
    <cellStyle name="20% - akcent 2 3 2 6 4 4 2" xfId="2772"/>
    <cellStyle name="20% - akcent 2 3 2 6 4 5" xfId="2773"/>
    <cellStyle name="20% - akcent 2 3 2 6 5" xfId="2774"/>
    <cellStyle name="20% - akcent 2 3 2 6 5 2" xfId="2775"/>
    <cellStyle name="20% - akcent 2 3 2 6 5 2 2" xfId="2776"/>
    <cellStyle name="20% - akcent 2 3 2 6 5 3" xfId="2777"/>
    <cellStyle name="20% - akcent 2 3 2 6 5 3 2" xfId="2778"/>
    <cellStyle name="20% - akcent 2 3 2 6 5 4" xfId="2779"/>
    <cellStyle name="20% - akcent 2 3 2 6 6" xfId="2780"/>
    <cellStyle name="20% - akcent 2 3 2 6 6 2" xfId="2781"/>
    <cellStyle name="20% - akcent 2 3 2 6 7" xfId="2782"/>
    <cellStyle name="20% - akcent 2 3 2 6 7 2" xfId="2783"/>
    <cellStyle name="20% - akcent 2 3 2 6 8" xfId="2784"/>
    <cellStyle name="20% - akcent 2 3 2 7" xfId="2785"/>
    <cellStyle name="20% - akcent 2 3 2 7 2" xfId="2786"/>
    <cellStyle name="20% - akcent 2 3 2 7 2 2" xfId="2787"/>
    <cellStyle name="20% - akcent 2 3 2 7 2 2 2" xfId="2788"/>
    <cellStyle name="20% - akcent 2 3 2 7 2 2 2 2" xfId="2789"/>
    <cellStyle name="20% - akcent 2 3 2 7 2 2 3" xfId="2790"/>
    <cellStyle name="20% - akcent 2 3 2 7 2 2 3 2" xfId="2791"/>
    <cellStyle name="20% - akcent 2 3 2 7 2 2 4" xfId="2792"/>
    <cellStyle name="20% - akcent 2 3 2 7 2 3" xfId="2793"/>
    <cellStyle name="20% - akcent 2 3 2 7 2 3 2" xfId="2794"/>
    <cellStyle name="20% - akcent 2 3 2 7 2 4" xfId="2795"/>
    <cellStyle name="20% - akcent 2 3 2 7 2 4 2" xfId="2796"/>
    <cellStyle name="20% - akcent 2 3 2 7 2 5" xfId="2797"/>
    <cellStyle name="20% - akcent 2 3 2 7 3" xfId="2798"/>
    <cellStyle name="20% - akcent 2 3 2 7 3 2" xfId="2799"/>
    <cellStyle name="20% - akcent 2 3 2 7 3 2 2" xfId="2800"/>
    <cellStyle name="20% - akcent 2 3 2 7 3 3" xfId="2801"/>
    <cellStyle name="20% - akcent 2 3 2 7 3 3 2" xfId="2802"/>
    <cellStyle name="20% - akcent 2 3 2 7 3 4" xfId="2803"/>
    <cellStyle name="20% - akcent 2 3 2 7 4" xfId="2804"/>
    <cellStyle name="20% - akcent 2 3 2 7 4 2" xfId="2805"/>
    <cellStyle name="20% - akcent 2 3 2 7 5" xfId="2806"/>
    <cellStyle name="20% - akcent 2 3 2 7 5 2" xfId="2807"/>
    <cellStyle name="20% - akcent 2 3 2 7 6" xfId="2808"/>
    <cellStyle name="20% - akcent 2 3 2 8" xfId="2809"/>
    <cellStyle name="20% - akcent 2 3 2 8 2" xfId="2810"/>
    <cellStyle name="20% - akcent 2 3 2 8 2 2" xfId="2811"/>
    <cellStyle name="20% - akcent 2 3 2 8 2 2 2" xfId="2812"/>
    <cellStyle name="20% - akcent 2 3 2 8 2 3" xfId="2813"/>
    <cellStyle name="20% - akcent 2 3 2 8 2 3 2" xfId="2814"/>
    <cellStyle name="20% - akcent 2 3 2 8 2 4" xfId="2815"/>
    <cellStyle name="20% - akcent 2 3 2 8 3" xfId="2816"/>
    <cellStyle name="20% - akcent 2 3 2 8 3 2" xfId="2817"/>
    <cellStyle name="20% - akcent 2 3 2 8 4" xfId="2818"/>
    <cellStyle name="20% - akcent 2 3 2 8 4 2" xfId="2819"/>
    <cellStyle name="20% - akcent 2 3 2 8 5" xfId="2820"/>
    <cellStyle name="20% - akcent 2 3 2 9" xfId="2821"/>
    <cellStyle name="20% - akcent 2 3 2 9 2" xfId="2822"/>
    <cellStyle name="20% - akcent 2 3 2 9 2 2" xfId="2823"/>
    <cellStyle name="20% - akcent 2 3 2 9 2 2 2" xfId="2824"/>
    <cellStyle name="20% - akcent 2 3 2 9 2 3" xfId="2825"/>
    <cellStyle name="20% - akcent 2 3 2 9 2 3 2" xfId="2826"/>
    <cellStyle name="20% - akcent 2 3 2 9 2 4" xfId="2827"/>
    <cellStyle name="20% - akcent 2 3 2 9 3" xfId="2828"/>
    <cellStyle name="20% - akcent 2 3 2 9 3 2" xfId="2829"/>
    <cellStyle name="20% - akcent 2 3 2 9 4" xfId="2830"/>
    <cellStyle name="20% - akcent 2 3 2 9 4 2" xfId="2831"/>
    <cellStyle name="20% - akcent 2 3 2 9 5" xfId="2832"/>
    <cellStyle name="20% - akcent 2 3 3" xfId="2833"/>
    <cellStyle name="20% - akcent 2 3 3 10" xfId="2834"/>
    <cellStyle name="20% - akcent 2 3 3 10 2" xfId="2835"/>
    <cellStyle name="20% - akcent 2 3 3 11" xfId="2836"/>
    <cellStyle name="20% - akcent 2 3 3 11 2" xfId="2837"/>
    <cellStyle name="20% - akcent 2 3 3 12" xfId="2838"/>
    <cellStyle name="20% - akcent 2 3 3 2" xfId="2839"/>
    <cellStyle name="20% - akcent 2 3 3 2 10" xfId="2840"/>
    <cellStyle name="20% - akcent 2 3 3 2 10 2" xfId="2841"/>
    <cellStyle name="20% - akcent 2 3 3 2 11" xfId="2842"/>
    <cellStyle name="20% - akcent 2 3 3 2 2" xfId="2843"/>
    <cellStyle name="20% - akcent 2 3 3 2 2 2" xfId="2844"/>
    <cellStyle name="20% - akcent 2 3 3 2 2 2 2" xfId="2845"/>
    <cellStyle name="20% - akcent 2 3 3 2 2 2 2 2" xfId="2846"/>
    <cellStyle name="20% - akcent 2 3 3 2 2 2 2 2 2" xfId="2847"/>
    <cellStyle name="20% - akcent 2 3 3 2 2 2 2 3" xfId="2848"/>
    <cellStyle name="20% - akcent 2 3 3 2 2 2 2 3 2" xfId="2849"/>
    <cellStyle name="20% - akcent 2 3 3 2 2 2 2 4" xfId="2850"/>
    <cellStyle name="20% - akcent 2 3 3 2 2 2 3" xfId="2851"/>
    <cellStyle name="20% - akcent 2 3 3 2 2 2 3 2" xfId="2852"/>
    <cellStyle name="20% - akcent 2 3 3 2 2 2 4" xfId="2853"/>
    <cellStyle name="20% - akcent 2 3 3 2 2 2 4 2" xfId="2854"/>
    <cellStyle name="20% - akcent 2 3 3 2 2 2 5" xfId="2855"/>
    <cellStyle name="20% - akcent 2 3 3 2 2 3" xfId="2856"/>
    <cellStyle name="20% - akcent 2 3 3 2 2 3 2" xfId="2857"/>
    <cellStyle name="20% - akcent 2 3 3 2 2 3 2 2" xfId="2858"/>
    <cellStyle name="20% - akcent 2 3 3 2 2 3 2 2 2" xfId="2859"/>
    <cellStyle name="20% - akcent 2 3 3 2 2 3 2 3" xfId="2860"/>
    <cellStyle name="20% - akcent 2 3 3 2 2 3 2 3 2" xfId="2861"/>
    <cellStyle name="20% - akcent 2 3 3 2 2 3 2 4" xfId="2862"/>
    <cellStyle name="20% - akcent 2 3 3 2 2 3 3" xfId="2863"/>
    <cellStyle name="20% - akcent 2 3 3 2 2 3 3 2" xfId="2864"/>
    <cellStyle name="20% - akcent 2 3 3 2 2 3 4" xfId="2865"/>
    <cellStyle name="20% - akcent 2 3 3 2 2 3 4 2" xfId="2866"/>
    <cellStyle name="20% - akcent 2 3 3 2 2 3 5" xfId="2867"/>
    <cellStyle name="20% - akcent 2 3 3 2 2 4" xfId="2868"/>
    <cellStyle name="20% - akcent 2 3 3 2 2 4 2" xfId="2869"/>
    <cellStyle name="20% - akcent 2 3 3 2 2 4 2 2" xfId="2870"/>
    <cellStyle name="20% - akcent 2 3 3 2 2 4 2 2 2" xfId="2871"/>
    <cellStyle name="20% - akcent 2 3 3 2 2 4 2 3" xfId="2872"/>
    <cellStyle name="20% - akcent 2 3 3 2 2 4 2 3 2" xfId="2873"/>
    <cellStyle name="20% - akcent 2 3 3 2 2 4 2 4" xfId="2874"/>
    <cellStyle name="20% - akcent 2 3 3 2 2 4 3" xfId="2875"/>
    <cellStyle name="20% - akcent 2 3 3 2 2 4 3 2" xfId="2876"/>
    <cellStyle name="20% - akcent 2 3 3 2 2 4 4" xfId="2877"/>
    <cellStyle name="20% - akcent 2 3 3 2 2 4 4 2" xfId="2878"/>
    <cellStyle name="20% - akcent 2 3 3 2 2 4 5" xfId="2879"/>
    <cellStyle name="20% - akcent 2 3 3 2 2 5" xfId="2880"/>
    <cellStyle name="20% - akcent 2 3 3 2 2 5 2" xfId="2881"/>
    <cellStyle name="20% - akcent 2 3 3 2 2 5 2 2" xfId="2882"/>
    <cellStyle name="20% - akcent 2 3 3 2 2 5 3" xfId="2883"/>
    <cellStyle name="20% - akcent 2 3 3 2 2 5 3 2" xfId="2884"/>
    <cellStyle name="20% - akcent 2 3 3 2 2 5 4" xfId="2885"/>
    <cellStyle name="20% - akcent 2 3 3 2 2 6" xfId="2886"/>
    <cellStyle name="20% - akcent 2 3 3 2 2 6 2" xfId="2887"/>
    <cellStyle name="20% - akcent 2 3 3 2 2 7" xfId="2888"/>
    <cellStyle name="20% - akcent 2 3 3 2 2 7 2" xfId="2889"/>
    <cellStyle name="20% - akcent 2 3 3 2 2 8" xfId="2890"/>
    <cellStyle name="20% - akcent 2 3 3 2 3" xfId="2891"/>
    <cellStyle name="20% - akcent 2 3 3 2 3 2" xfId="2892"/>
    <cellStyle name="20% - akcent 2 3 3 2 3 2 2" xfId="2893"/>
    <cellStyle name="20% - akcent 2 3 3 2 3 2 2 2" xfId="2894"/>
    <cellStyle name="20% - akcent 2 3 3 2 3 2 2 2 2" xfId="2895"/>
    <cellStyle name="20% - akcent 2 3 3 2 3 2 2 3" xfId="2896"/>
    <cellStyle name="20% - akcent 2 3 3 2 3 2 2 3 2" xfId="2897"/>
    <cellStyle name="20% - akcent 2 3 3 2 3 2 2 4" xfId="2898"/>
    <cellStyle name="20% - akcent 2 3 3 2 3 2 3" xfId="2899"/>
    <cellStyle name="20% - akcent 2 3 3 2 3 2 3 2" xfId="2900"/>
    <cellStyle name="20% - akcent 2 3 3 2 3 2 4" xfId="2901"/>
    <cellStyle name="20% - akcent 2 3 3 2 3 2 4 2" xfId="2902"/>
    <cellStyle name="20% - akcent 2 3 3 2 3 2 5" xfId="2903"/>
    <cellStyle name="20% - akcent 2 3 3 2 3 3" xfId="2904"/>
    <cellStyle name="20% - akcent 2 3 3 2 3 3 2" xfId="2905"/>
    <cellStyle name="20% - akcent 2 3 3 2 3 3 2 2" xfId="2906"/>
    <cellStyle name="20% - akcent 2 3 3 2 3 3 2 2 2" xfId="2907"/>
    <cellStyle name="20% - akcent 2 3 3 2 3 3 2 3" xfId="2908"/>
    <cellStyle name="20% - akcent 2 3 3 2 3 3 2 3 2" xfId="2909"/>
    <cellStyle name="20% - akcent 2 3 3 2 3 3 2 4" xfId="2910"/>
    <cellStyle name="20% - akcent 2 3 3 2 3 3 3" xfId="2911"/>
    <cellStyle name="20% - akcent 2 3 3 2 3 3 3 2" xfId="2912"/>
    <cellStyle name="20% - akcent 2 3 3 2 3 3 4" xfId="2913"/>
    <cellStyle name="20% - akcent 2 3 3 2 3 3 4 2" xfId="2914"/>
    <cellStyle name="20% - akcent 2 3 3 2 3 3 5" xfId="2915"/>
    <cellStyle name="20% - akcent 2 3 3 2 3 4" xfId="2916"/>
    <cellStyle name="20% - akcent 2 3 3 2 3 4 2" xfId="2917"/>
    <cellStyle name="20% - akcent 2 3 3 2 3 4 2 2" xfId="2918"/>
    <cellStyle name="20% - akcent 2 3 3 2 3 4 2 2 2" xfId="2919"/>
    <cellStyle name="20% - akcent 2 3 3 2 3 4 2 3" xfId="2920"/>
    <cellStyle name="20% - akcent 2 3 3 2 3 4 2 3 2" xfId="2921"/>
    <cellStyle name="20% - akcent 2 3 3 2 3 4 2 4" xfId="2922"/>
    <cellStyle name="20% - akcent 2 3 3 2 3 4 3" xfId="2923"/>
    <cellStyle name="20% - akcent 2 3 3 2 3 4 3 2" xfId="2924"/>
    <cellStyle name="20% - akcent 2 3 3 2 3 4 4" xfId="2925"/>
    <cellStyle name="20% - akcent 2 3 3 2 3 4 4 2" xfId="2926"/>
    <cellStyle name="20% - akcent 2 3 3 2 3 4 5" xfId="2927"/>
    <cellStyle name="20% - akcent 2 3 3 2 3 5" xfId="2928"/>
    <cellStyle name="20% - akcent 2 3 3 2 3 5 2" xfId="2929"/>
    <cellStyle name="20% - akcent 2 3 3 2 3 5 2 2" xfId="2930"/>
    <cellStyle name="20% - akcent 2 3 3 2 3 5 3" xfId="2931"/>
    <cellStyle name="20% - akcent 2 3 3 2 3 5 3 2" xfId="2932"/>
    <cellStyle name="20% - akcent 2 3 3 2 3 5 4" xfId="2933"/>
    <cellStyle name="20% - akcent 2 3 3 2 3 6" xfId="2934"/>
    <cellStyle name="20% - akcent 2 3 3 2 3 6 2" xfId="2935"/>
    <cellStyle name="20% - akcent 2 3 3 2 3 7" xfId="2936"/>
    <cellStyle name="20% - akcent 2 3 3 2 3 7 2" xfId="2937"/>
    <cellStyle name="20% - akcent 2 3 3 2 3 8" xfId="2938"/>
    <cellStyle name="20% - akcent 2 3 3 2 4" xfId="2939"/>
    <cellStyle name="20% - akcent 2 3 3 2 4 2" xfId="2940"/>
    <cellStyle name="20% - akcent 2 3 3 2 4 2 2" xfId="2941"/>
    <cellStyle name="20% - akcent 2 3 3 2 4 2 2 2" xfId="2942"/>
    <cellStyle name="20% - akcent 2 3 3 2 4 2 2 2 2" xfId="2943"/>
    <cellStyle name="20% - akcent 2 3 3 2 4 2 2 3" xfId="2944"/>
    <cellStyle name="20% - akcent 2 3 3 2 4 2 2 3 2" xfId="2945"/>
    <cellStyle name="20% - akcent 2 3 3 2 4 2 2 4" xfId="2946"/>
    <cellStyle name="20% - akcent 2 3 3 2 4 2 3" xfId="2947"/>
    <cellStyle name="20% - akcent 2 3 3 2 4 2 3 2" xfId="2948"/>
    <cellStyle name="20% - akcent 2 3 3 2 4 2 4" xfId="2949"/>
    <cellStyle name="20% - akcent 2 3 3 2 4 2 4 2" xfId="2950"/>
    <cellStyle name="20% - akcent 2 3 3 2 4 2 5" xfId="2951"/>
    <cellStyle name="20% - akcent 2 3 3 2 4 3" xfId="2952"/>
    <cellStyle name="20% - akcent 2 3 3 2 4 3 2" xfId="2953"/>
    <cellStyle name="20% - akcent 2 3 3 2 4 3 2 2" xfId="2954"/>
    <cellStyle name="20% - akcent 2 3 3 2 4 3 3" xfId="2955"/>
    <cellStyle name="20% - akcent 2 3 3 2 4 3 3 2" xfId="2956"/>
    <cellStyle name="20% - akcent 2 3 3 2 4 3 4" xfId="2957"/>
    <cellStyle name="20% - akcent 2 3 3 2 4 4" xfId="2958"/>
    <cellStyle name="20% - akcent 2 3 3 2 4 4 2" xfId="2959"/>
    <cellStyle name="20% - akcent 2 3 3 2 4 5" xfId="2960"/>
    <cellStyle name="20% - akcent 2 3 3 2 4 5 2" xfId="2961"/>
    <cellStyle name="20% - akcent 2 3 3 2 4 6" xfId="2962"/>
    <cellStyle name="20% - akcent 2 3 3 2 5" xfId="2963"/>
    <cellStyle name="20% - akcent 2 3 3 2 5 2" xfId="2964"/>
    <cellStyle name="20% - akcent 2 3 3 2 5 2 2" xfId="2965"/>
    <cellStyle name="20% - akcent 2 3 3 2 5 2 2 2" xfId="2966"/>
    <cellStyle name="20% - akcent 2 3 3 2 5 2 3" xfId="2967"/>
    <cellStyle name="20% - akcent 2 3 3 2 5 2 3 2" xfId="2968"/>
    <cellStyle name="20% - akcent 2 3 3 2 5 2 4" xfId="2969"/>
    <cellStyle name="20% - akcent 2 3 3 2 5 3" xfId="2970"/>
    <cellStyle name="20% - akcent 2 3 3 2 5 3 2" xfId="2971"/>
    <cellStyle name="20% - akcent 2 3 3 2 5 4" xfId="2972"/>
    <cellStyle name="20% - akcent 2 3 3 2 5 4 2" xfId="2973"/>
    <cellStyle name="20% - akcent 2 3 3 2 5 5" xfId="2974"/>
    <cellStyle name="20% - akcent 2 3 3 2 6" xfId="2975"/>
    <cellStyle name="20% - akcent 2 3 3 2 6 2" xfId="2976"/>
    <cellStyle name="20% - akcent 2 3 3 2 6 2 2" xfId="2977"/>
    <cellStyle name="20% - akcent 2 3 3 2 6 2 2 2" xfId="2978"/>
    <cellStyle name="20% - akcent 2 3 3 2 6 2 3" xfId="2979"/>
    <cellStyle name="20% - akcent 2 3 3 2 6 2 3 2" xfId="2980"/>
    <cellStyle name="20% - akcent 2 3 3 2 6 2 4" xfId="2981"/>
    <cellStyle name="20% - akcent 2 3 3 2 6 3" xfId="2982"/>
    <cellStyle name="20% - akcent 2 3 3 2 6 3 2" xfId="2983"/>
    <cellStyle name="20% - akcent 2 3 3 2 6 4" xfId="2984"/>
    <cellStyle name="20% - akcent 2 3 3 2 6 4 2" xfId="2985"/>
    <cellStyle name="20% - akcent 2 3 3 2 6 5" xfId="2986"/>
    <cellStyle name="20% - akcent 2 3 3 2 7" xfId="2987"/>
    <cellStyle name="20% - akcent 2 3 3 2 7 2" xfId="2988"/>
    <cellStyle name="20% - akcent 2 3 3 2 7 2 2" xfId="2989"/>
    <cellStyle name="20% - akcent 2 3 3 2 7 2 2 2" xfId="2990"/>
    <cellStyle name="20% - akcent 2 3 3 2 7 2 3" xfId="2991"/>
    <cellStyle name="20% - akcent 2 3 3 2 7 2 3 2" xfId="2992"/>
    <cellStyle name="20% - akcent 2 3 3 2 7 2 4" xfId="2993"/>
    <cellStyle name="20% - akcent 2 3 3 2 7 3" xfId="2994"/>
    <cellStyle name="20% - akcent 2 3 3 2 7 3 2" xfId="2995"/>
    <cellStyle name="20% - akcent 2 3 3 2 7 4" xfId="2996"/>
    <cellStyle name="20% - akcent 2 3 3 2 7 4 2" xfId="2997"/>
    <cellStyle name="20% - akcent 2 3 3 2 7 5" xfId="2998"/>
    <cellStyle name="20% - akcent 2 3 3 2 8" xfId="2999"/>
    <cellStyle name="20% - akcent 2 3 3 2 8 2" xfId="3000"/>
    <cellStyle name="20% - akcent 2 3 3 2 8 2 2" xfId="3001"/>
    <cellStyle name="20% - akcent 2 3 3 2 8 3" xfId="3002"/>
    <cellStyle name="20% - akcent 2 3 3 2 8 3 2" xfId="3003"/>
    <cellStyle name="20% - akcent 2 3 3 2 8 4" xfId="3004"/>
    <cellStyle name="20% - akcent 2 3 3 2 9" xfId="3005"/>
    <cellStyle name="20% - akcent 2 3 3 2 9 2" xfId="3006"/>
    <cellStyle name="20% - akcent 2 3 3 3" xfId="3007"/>
    <cellStyle name="20% - akcent 2 3 3 3 2" xfId="3008"/>
    <cellStyle name="20% - akcent 2 3 3 3 2 2" xfId="3009"/>
    <cellStyle name="20% - akcent 2 3 3 3 2 2 2" xfId="3010"/>
    <cellStyle name="20% - akcent 2 3 3 3 2 2 2 2" xfId="3011"/>
    <cellStyle name="20% - akcent 2 3 3 3 2 2 3" xfId="3012"/>
    <cellStyle name="20% - akcent 2 3 3 3 2 2 3 2" xfId="3013"/>
    <cellStyle name="20% - akcent 2 3 3 3 2 2 4" xfId="3014"/>
    <cellStyle name="20% - akcent 2 3 3 3 2 3" xfId="3015"/>
    <cellStyle name="20% - akcent 2 3 3 3 2 3 2" xfId="3016"/>
    <cellStyle name="20% - akcent 2 3 3 3 2 4" xfId="3017"/>
    <cellStyle name="20% - akcent 2 3 3 3 2 4 2" xfId="3018"/>
    <cellStyle name="20% - akcent 2 3 3 3 2 5" xfId="3019"/>
    <cellStyle name="20% - akcent 2 3 3 3 3" xfId="3020"/>
    <cellStyle name="20% - akcent 2 3 3 3 3 2" xfId="3021"/>
    <cellStyle name="20% - akcent 2 3 3 3 3 2 2" xfId="3022"/>
    <cellStyle name="20% - akcent 2 3 3 3 3 2 2 2" xfId="3023"/>
    <cellStyle name="20% - akcent 2 3 3 3 3 2 3" xfId="3024"/>
    <cellStyle name="20% - akcent 2 3 3 3 3 2 3 2" xfId="3025"/>
    <cellStyle name="20% - akcent 2 3 3 3 3 2 4" xfId="3026"/>
    <cellStyle name="20% - akcent 2 3 3 3 3 3" xfId="3027"/>
    <cellStyle name="20% - akcent 2 3 3 3 3 3 2" xfId="3028"/>
    <cellStyle name="20% - akcent 2 3 3 3 3 4" xfId="3029"/>
    <cellStyle name="20% - akcent 2 3 3 3 3 4 2" xfId="3030"/>
    <cellStyle name="20% - akcent 2 3 3 3 3 5" xfId="3031"/>
    <cellStyle name="20% - akcent 2 3 3 3 4" xfId="3032"/>
    <cellStyle name="20% - akcent 2 3 3 3 4 2" xfId="3033"/>
    <cellStyle name="20% - akcent 2 3 3 3 4 2 2" xfId="3034"/>
    <cellStyle name="20% - akcent 2 3 3 3 4 2 2 2" xfId="3035"/>
    <cellStyle name="20% - akcent 2 3 3 3 4 2 3" xfId="3036"/>
    <cellStyle name="20% - akcent 2 3 3 3 4 2 3 2" xfId="3037"/>
    <cellStyle name="20% - akcent 2 3 3 3 4 2 4" xfId="3038"/>
    <cellStyle name="20% - akcent 2 3 3 3 4 3" xfId="3039"/>
    <cellStyle name="20% - akcent 2 3 3 3 4 3 2" xfId="3040"/>
    <cellStyle name="20% - akcent 2 3 3 3 4 4" xfId="3041"/>
    <cellStyle name="20% - akcent 2 3 3 3 4 4 2" xfId="3042"/>
    <cellStyle name="20% - akcent 2 3 3 3 4 5" xfId="3043"/>
    <cellStyle name="20% - akcent 2 3 3 3 5" xfId="3044"/>
    <cellStyle name="20% - akcent 2 3 3 3 5 2" xfId="3045"/>
    <cellStyle name="20% - akcent 2 3 3 3 5 2 2" xfId="3046"/>
    <cellStyle name="20% - akcent 2 3 3 3 5 3" xfId="3047"/>
    <cellStyle name="20% - akcent 2 3 3 3 5 3 2" xfId="3048"/>
    <cellStyle name="20% - akcent 2 3 3 3 5 4" xfId="3049"/>
    <cellStyle name="20% - akcent 2 3 3 3 6" xfId="3050"/>
    <cellStyle name="20% - akcent 2 3 3 3 6 2" xfId="3051"/>
    <cellStyle name="20% - akcent 2 3 3 3 7" xfId="3052"/>
    <cellStyle name="20% - akcent 2 3 3 3 7 2" xfId="3053"/>
    <cellStyle name="20% - akcent 2 3 3 3 8" xfId="3054"/>
    <cellStyle name="20% - akcent 2 3 3 4" xfId="3055"/>
    <cellStyle name="20% - akcent 2 3 3 4 2" xfId="3056"/>
    <cellStyle name="20% - akcent 2 3 3 4 2 2" xfId="3057"/>
    <cellStyle name="20% - akcent 2 3 3 4 2 2 2" xfId="3058"/>
    <cellStyle name="20% - akcent 2 3 3 4 2 2 2 2" xfId="3059"/>
    <cellStyle name="20% - akcent 2 3 3 4 2 2 3" xfId="3060"/>
    <cellStyle name="20% - akcent 2 3 3 4 2 2 3 2" xfId="3061"/>
    <cellStyle name="20% - akcent 2 3 3 4 2 2 4" xfId="3062"/>
    <cellStyle name="20% - akcent 2 3 3 4 2 3" xfId="3063"/>
    <cellStyle name="20% - akcent 2 3 3 4 2 3 2" xfId="3064"/>
    <cellStyle name="20% - akcent 2 3 3 4 2 4" xfId="3065"/>
    <cellStyle name="20% - akcent 2 3 3 4 2 4 2" xfId="3066"/>
    <cellStyle name="20% - akcent 2 3 3 4 2 5" xfId="3067"/>
    <cellStyle name="20% - akcent 2 3 3 4 3" xfId="3068"/>
    <cellStyle name="20% - akcent 2 3 3 4 3 2" xfId="3069"/>
    <cellStyle name="20% - akcent 2 3 3 4 3 2 2" xfId="3070"/>
    <cellStyle name="20% - akcent 2 3 3 4 3 2 2 2" xfId="3071"/>
    <cellStyle name="20% - akcent 2 3 3 4 3 2 3" xfId="3072"/>
    <cellStyle name="20% - akcent 2 3 3 4 3 2 3 2" xfId="3073"/>
    <cellStyle name="20% - akcent 2 3 3 4 3 2 4" xfId="3074"/>
    <cellStyle name="20% - akcent 2 3 3 4 3 3" xfId="3075"/>
    <cellStyle name="20% - akcent 2 3 3 4 3 3 2" xfId="3076"/>
    <cellStyle name="20% - akcent 2 3 3 4 3 4" xfId="3077"/>
    <cellStyle name="20% - akcent 2 3 3 4 3 4 2" xfId="3078"/>
    <cellStyle name="20% - akcent 2 3 3 4 3 5" xfId="3079"/>
    <cellStyle name="20% - akcent 2 3 3 4 4" xfId="3080"/>
    <cellStyle name="20% - akcent 2 3 3 4 4 2" xfId="3081"/>
    <cellStyle name="20% - akcent 2 3 3 4 4 2 2" xfId="3082"/>
    <cellStyle name="20% - akcent 2 3 3 4 4 2 2 2" xfId="3083"/>
    <cellStyle name="20% - akcent 2 3 3 4 4 2 3" xfId="3084"/>
    <cellStyle name="20% - akcent 2 3 3 4 4 2 3 2" xfId="3085"/>
    <cellStyle name="20% - akcent 2 3 3 4 4 2 4" xfId="3086"/>
    <cellStyle name="20% - akcent 2 3 3 4 4 3" xfId="3087"/>
    <cellStyle name="20% - akcent 2 3 3 4 4 3 2" xfId="3088"/>
    <cellStyle name="20% - akcent 2 3 3 4 4 4" xfId="3089"/>
    <cellStyle name="20% - akcent 2 3 3 4 4 4 2" xfId="3090"/>
    <cellStyle name="20% - akcent 2 3 3 4 4 5" xfId="3091"/>
    <cellStyle name="20% - akcent 2 3 3 4 5" xfId="3092"/>
    <cellStyle name="20% - akcent 2 3 3 4 5 2" xfId="3093"/>
    <cellStyle name="20% - akcent 2 3 3 4 5 2 2" xfId="3094"/>
    <cellStyle name="20% - akcent 2 3 3 4 5 3" xfId="3095"/>
    <cellStyle name="20% - akcent 2 3 3 4 5 3 2" xfId="3096"/>
    <cellStyle name="20% - akcent 2 3 3 4 5 4" xfId="3097"/>
    <cellStyle name="20% - akcent 2 3 3 4 6" xfId="3098"/>
    <cellStyle name="20% - akcent 2 3 3 4 6 2" xfId="3099"/>
    <cellStyle name="20% - akcent 2 3 3 4 7" xfId="3100"/>
    <cellStyle name="20% - akcent 2 3 3 4 7 2" xfId="3101"/>
    <cellStyle name="20% - akcent 2 3 3 4 8" xfId="3102"/>
    <cellStyle name="20% - akcent 2 3 3 5" xfId="3103"/>
    <cellStyle name="20% - akcent 2 3 3 5 2" xfId="3104"/>
    <cellStyle name="20% - akcent 2 3 3 5 2 2" xfId="3105"/>
    <cellStyle name="20% - akcent 2 3 3 5 2 2 2" xfId="3106"/>
    <cellStyle name="20% - akcent 2 3 3 5 2 2 2 2" xfId="3107"/>
    <cellStyle name="20% - akcent 2 3 3 5 2 2 3" xfId="3108"/>
    <cellStyle name="20% - akcent 2 3 3 5 2 2 3 2" xfId="3109"/>
    <cellStyle name="20% - akcent 2 3 3 5 2 2 4" xfId="3110"/>
    <cellStyle name="20% - akcent 2 3 3 5 2 3" xfId="3111"/>
    <cellStyle name="20% - akcent 2 3 3 5 2 3 2" xfId="3112"/>
    <cellStyle name="20% - akcent 2 3 3 5 2 4" xfId="3113"/>
    <cellStyle name="20% - akcent 2 3 3 5 2 4 2" xfId="3114"/>
    <cellStyle name="20% - akcent 2 3 3 5 2 5" xfId="3115"/>
    <cellStyle name="20% - akcent 2 3 3 5 3" xfId="3116"/>
    <cellStyle name="20% - akcent 2 3 3 5 3 2" xfId="3117"/>
    <cellStyle name="20% - akcent 2 3 3 5 3 2 2" xfId="3118"/>
    <cellStyle name="20% - akcent 2 3 3 5 3 3" xfId="3119"/>
    <cellStyle name="20% - akcent 2 3 3 5 3 3 2" xfId="3120"/>
    <cellStyle name="20% - akcent 2 3 3 5 3 4" xfId="3121"/>
    <cellStyle name="20% - akcent 2 3 3 5 4" xfId="3122"/>
    <cellStyle name="20% - akcent 2 3 3 5 4 2" xfId="3123"/>
    <cellStyle name="20% - akcent 2 3 3 5 5" xfId="3124"/>
    <cellStyle name="20% - akcent 2 3 3 5 5 2" xfId="3125"/>
    <cellStyle name="20% - akcent 2 3 3 5 6" xfId="3126"/>
    <cellStyle name="20% - akcent 2 3 3 6" xfId="3127"/>
    <cellStyle name="20% - akcent 2 3 3 6 2" xfId="3128"/>
    <cellStyle name="20% - akcent 2 3 3 6 2 2" xfId="3129"/>
    <cellStyle name="20% - akcent 2 3 3 6 2 2 2" xfId="3130"/>
    <cellStyle name="20% - akcent 2 3 3 6 2 3" xfId="3131"/>
    <cellStyle name="20% - akcent 2 3 3 6 2 3 2" xfId="3132"/>
    <cellStyle name="20% - akcent 2 3 3 6 2 4" xfId="3133"/>
    <cellStyle name="20% - akcent 2 3 3 6 3" xfId="3134"/>
    <cellStyle name="20% - akcent 2 3 3 6 3 2" xfId="3135"/>
    <cellStyle name="20% - akcent 2 3 3 6 4" xfId="3136"/>
    <cellStyle name="20% - akcent 2 3 3 6 4 2" xfId="3137"/>
    <cellStyle name="20% - akcent 2 3 3 6 5" xfId="3138"/>
    <cellStyle name="20% - akcent 2 3 3 7" xfId="3139"/>
    <cellStyle name="20% - akcent 2 3 3 7 2" xfId="3140"/>
    <cellStyle name="20% - akcent 2 3 3 7 2 2" xfId="3141"/>
    <cellStyle name="20% - akcent 2 3 3 7 2 2 2" xfId="3142"/>
    <cellStyle name="20% - akcent 2 3 3 7 2 3" xfId="3143"/>
    <cellStyle name="20% - akcent 2 3 3 7 2 3 2" xfId="3144"/>
    <cellStyle name="20% - akcent 2 3 3 7 2 4" xfId="3145"/>
    <cellStyle name="20% - akcent 2 3 3 7 3" xfId="3146"/>
    <cellStyle name="20% - akcent 2 3 3 7 3 2" xfId="3147"/>
    <cellStyle name="20% - akcent 2 3 3 7 4" xfId="3148"/>
    <cellStyle name="20% - akcent 2 3 3 7 4 2" xfId="3149"/>
    <cellStyle name="20% - akcent 2 3 3 7 5" xfId="3150"/>
    <cellStyle name="20% - akcent 2 3 3 8" xfId="3151"/>
    <cellStyle name="20% - akcent 2 3 3 8 2" xfId="3152"/>
    <cellStyle name="20% - akcent 2 3 3 8 2 2" xfId="3153"/>
    <cellStyle name="20% - akcent 2 3 3 8 2 2 2" xfId="3154"/>
    <cellStyle name="20% - akcent 2 3 3 8 2 3" xfId="3155"/>
    <cellStyle name="20% - akcent 2 3 3 8 2 3 2" xfId="3156"/>
    <cellStyle name="20% - akcent 2 3 3 8 2 4" xfId="3157"/>
    <cellStyle name="20% - akcent 2 3 3 8 3" xfId="3158"/>
    <cellStyle name="20% - akcent 2 3 3 8 3 2" xfId="3159"/>
    <cellStyle name="20% - akcent 2 3 3 8 4" xfId="3160"/>
    <cellStyle name="20% - akcent 2 3 3 8 4 2" xfId="3161"/>
    <cellStyle name="20% - akcent 2 3 3 8 5" xfId="3162"/>
    <cellStyle name="20% - akcent 2 3 3 9" xfId="3163"/>
    <cellStyle name="20% - akcent 2 3 3 9 2" xfId="3164"/>
    <cellStyle name="20% - akcent 2 3 3 9 2 2" xfId="3165"/>
    <cellStyle name="20% - akcent 2 3 3 9 3" xfId="3166"/>
    <cellStyle name="20% - akcent 2 3 3 9 3 2" xfId="3167"/>
    <cellStyle name="20% - akcent 2 3 3 9 4" xfId="3168"/>
    <cellStyle name="20% - akcent 2 3 4" xfId="3169"/>
    <cellStyle name="20% - akcent 2 3 4 10" xfId="3170"/>
    <cellStyle name="20% - akcent 2 3 4 10 2" xfId="3171"/>
    <cellStyle name="20% - akcent 2 3 4 11" xfId="3172"/>
    <cellStyle name="20% - akcent 2 3 4 2" xfId="3173"/>
    <cellStyle name="20% - akcent 2 3 4 2 2" xfId="3174"/>
    <cellStyle name="20% - akcent 2 3 4 2 2 2" xfId="3175"/>
    <cellStyle name="20% - akcent 2 3 4 2 2 2 2" xfId="3176"/>
    <cellStyle name="20% - akcent 2 3 4 2 2 2 2 2" xfId="3177"/>
    <cellStyle name="20% - akcent 2 3 4 2 2 2 3" xfId="3178"/>
    <cellStyle name="20% - akcent 2 3 4 2 2 2 3 2" xfId="3179"/>
    <cellStyle name="20% - akcent 2 3 4 2 2 2 4" xfId="3180"/>
    <cellStyle name="20% - akcent 2 3 4 2 2 3" xfId="3181"/>
    <cellStyle name="20% - akcent 2 3 4 2 2 3 2" xfId="3182"/>
    <cellStyle name="20% - akcent 2 3 4 2 2 4" xfId="3183"/>
    <cellStyle name="20% - akcent 2 3 4 2 2 4 2" xfId="3184"/>
    <cellStyle name="20% - akcent 2 3 4 2 2 5" xfId="3185"/>
    <cellStyle name="20% - akcent 2 3 4 2 3" xfId="3186"/>
    <cellStyle name="20% - akcent 2 3 4 2 3 2" xfId="3187"/>
    <cellStyle name="20% - akcent 2 3 4 2 3 2 2" xfId="3188"/>
    <cellStyle name="20% - akcent 2 3 4 2 3 2 2 2" xfId="3189"/>
    <cellStyle name="20% - akcent 2 3 4 2 3 2 3" xfId="3190"/>
    <cellStyle name="20% - akcent 2 3 4 2 3 2 3 2" xfId="3191"/>
    <cellStyle name="20% - akcent 2 3 4 2 3 2 4" xfId="3192"/>
    <cellStyle name="20% - akcent 2 3 4 2 3 3" xfId="3193"/>
    <cellStyle name="20% - akcent 2 3 4 2 3 3 2" xfId="3194"/>
    <cellStyle name="20% - akcent 2 3 4 2 3 4" xfId="3195"/>
    <cellStyle name="20% - akcent 2 3 4 2 3 4 2" xfId="3196"/>
    <cellStyle name="20% - akcent 2 3 4 2 3 5" xfId="3197"/>
    <cellStyle name="20% - akcent 2 3 4 2 4" xfId="3198"/>
    <cellStyle name="20% - akcent 2 3 4 2 4 2" xfId="3199"/>
    <cellStyle name="20% - akcent 2 3 4 2 4 2 2" xfId="3200"/>
    <cellStyle name="20% - akcent 2 3 4 2 4 2 2 2" xfId="3201"/>
    <cellStyle name="20% - akcent 2 3 4 2 4 2 3" xfId="3202"/>
    <cellStyle name="20% - akcent 2 3 4 2 4 2 3 2" xfId="3203"/>
    <cellStyle name="20% - akcent 2 3 4 2 4 2 4" xfId="3204"/>
    <cellStyle name="20% - akcent 2 3 4 2 4 3" xfId="3205"/>
    <cellStyle name="20% - akcent 2 3 4 2 4 3 2" xfId="3206"/>
    <cellStyle name="20% - akcent 2 3 4 2 4 4" xfId="3207"/>
    <cellStyle name="20% - akcent 2 3 4 2 4 4 2" xfId="3208"/>
    <cellStyle name="20% - akcent 2 3 4 2 4 5" xfId="3209"/>
    <cellStyle name="20% - akcent 2 3 4 2 5" xfId="3210"/>
    <cellStyle name="20% - akcent 2 3 4 2 5 2" xfId="3211"/>
    <cellStyle name="20% - akcent 2 3 4 2 5 2 2" xfId="3212"/>
    <cellStyle name="20% - akcent 2 3 4 2 5 3" xfId="3213"/>
    <cellStyle name="20% - akcent 2 3 4 2 5 3 2" xfId="3214"/>
    <cellStyle name="20% - akcent 2 3 4 2 5 4" xfId="3215"/>
    <cellStyle name="20% - akcent 2 3 4 2 6" xfId="3216"/>
    <cellStyle name="20% - akcent 2 3 4 2 6 2" xfId="3217"/>
    <cellStyle name="20% - akcent 2 3 4 2 7" xfId="3218"/>
    <cellStyle name="20% - akcent 2 3 4 2 7 2" xfId="3219"/>
    <cellStyle name="20% - akcent 2 3 4 2 8" xfId="3220"/>
    <cellStyle name="20% - akcent 2 3 4 3" xfId="3221"/>
    <cellStyle name="20% - akcent 2 3 4 3 2" xfId="3222"/>
    <cellStyle name="20% - akcent 2 3 4 3 2 2" xfId="3223"/>
    <cellStyle name="20% - akcent 2 3 4 3 2 2 2" xfId="3224"/>
    <cellStyle name="20% - akcent 2 3 4 3 2 2 2 2" xfId="3225"/>
    <cellStyle name="20% - akcent 2 3 4 3 2 2 3" xfId="3226"/>
    <cellStyle name="20% - akcent 2 3 4 3 2 2 3 2" xfId="3227"/>
    <cellStyle name="20% - akcent 2 3 4 3 2 2 4" xfId="3228"/>
    <cellStyle name="20% - akcent 2 3 4 3 2 3" xfId="3229"/>
    <cellStyle name="20% - akcent 2 3 4 3 2 3 2" xfId="3230"/>
    <cellStyle name="20% - akcent 2 3 4 3 2 4" xfId="3231"/>
    <cellStyle name="20% - akcent 2 3 4 3 2 4 2" xfId="3232"/>
    <cellStyle name="20% - akcent 2 3 4 3 2 5" xfId="3233"/>
    <cellStyle name="20% - akcent 2 3 4 3 3" xfId="3234"/>
    <cellStyle name="20% - akcent 2 3 4 3 3 2" xfId="3235"/>
    <cellStyle name="20% - akcent 2 3 4 3 3 2 2" xfId="3236"/>
    <cellStyle name="20% - akcent 2 3 4 3 3 2 2 2" xfId="3237"/>
    <cellStyle name="20% - akcent 2 3 4 3 3 2 3" xfId="3238"/>
    <cellStyle name="20% - akcent 2 3 4 3 3 2 3 2" xfId="3239"/>
    <cellStyle name="20% - akcent 2 3 4 3 3 2 4" xfId="3240"/>
    <cellStyle name="20% - akcent 2 3 4 3 3 3" xfId="3241"/>
    <cellStyle name="20% - akcent 2 3 4 3 3 3 2" xfId="3242"/>
    <cellStyle name="20% - akcent 2 3 4 3 3 4" xfId="3243"/>
    <cellStyle name="20% - akcent 2 3 4 3 3 4 2" xfId="3244"/>
    <cellStyle name="20% - akcent 2 3 4 3 3 5" xfId="3245"/>
    <cellStyle name="20% - akcent 2 3 4 3 4" xfId="3246"/>
    <cellStyle name="20% - akcent 2 3 4 3 4 2" xfId="3247"/>
    <cellStyle name="20% - akcent 2 3 4 3 4 2 2" xfId="3248"/>
    <cellStyle name="20% - akcent 2 3 4 3 4 2 2 2" xfId="3249"/>
    <cellStyle name="20% - akcent 2 3 4 3 4 2 3" xfId="3250"/>
    <cellStyle name="20% - akcent 2 3 4 3 4 2 3 2" xfId="3251"/>
    <cellStyle name="20% - akcent 2 3 4 3 4 2 4" xfId="3252"/>
    <cellStyle name="20% - akcent 2 3 4 3 4 3" xfId="3253"/>
    <cellStyle name="20% - akcent 2 3 4 3 4 3 2" xfId="3254"/>
    <cellStyle name="20% - akcent 2 3 4 3 4 4" xfId="3255"/>
    <cellStyle name="20% - akcent 2 3 4 3 4 4 2" xfId="3256"/>
    <cellStyle name="20% - akcent 2 3 4 3 4 5" xfId="3257"/>
    <cellStyle name="20% - akcent 2 3 4 3 5" xfId="3258"/>
    <cellStyle name="20% - akcent 2 3 4 3 5 2" xfId="3259"/>
    <cellStyle name="20% - akcent 2 3 4 3 5 2 2" xfId="3260"/>
    <cellStyle name="20% - akcent 2 3 4 3 5 3" xfId="3261"/>
    <cellStyle name="20% - akcent 2 3 4 3 5 3 2" xfId="3262"/>
    <cellStyle name="20% - akcent 2 3 4 3 5 4" xfId="3263"/>
    <cellStyle name="20% - akcent 2 3 4 3 6" xfId="3264"/>
    <cellStyle name="20% - akcent 2 3 4 3 6 2" xfId="3265"/>
    <cellStyle name="20% - akcent 2 3 4 3 7" xfId="3266"/>
    <cellStyle name="20% - akcent 2 3 4 3 7 2" xfId="3267"/>
    <cellStyle name="20% - akcent 2 3 4 3 8" xfId="3268"/>
    <cellStyle name="20% - akcent 2 3 4 4" xfId="3269"/>
    <cellStyle name="20% - akcent 2 3 4 4 2" xfId="3270"/>
    <cellStyle name="20% - akcent 2 3 4 4 2 2" xfId="3271"/>
    <cellStyle name="20% - akcent 2 3 4 4 2 2 2" xfId="3272"/>
    <cellStyle name="20% - akcent 2 3 4 4 2 2 2 2" xfId="3273"/>
    <cellStyle name="20% - akcent 2 3 4 4 2 2 3" xfId="3274"/>
    <cellStyle name="20% - akcent 2 3 4 4 2 2 3 2" xfId="3275"/>
    <cellStyle name="20% - akcent 2 3 4 4 2 2 4" xfId="3276"/>
    <cellStyle name="20% - akcent 2 3 4 4 2 3" xfId="3277"/>
    <cellStyle name="20% - akcent 2 3 4 4 2 3 2" xfId="3278"/>
    <cellStyle name="20% - akcent 2 3 4 4 2 4" xfId="3279"/>
    <cellStyle name="20% - akcent 2 3 4 4 2 4 2" xfId="3280"/>
    <cellStyle name="20% - akcent 2 3 4 4 2 5" xfId="3281"/>
    <cellStyle name="20% - akcent 2 3 4 4 3" xfId="3282"/>
    <cellStyle name="20% - akcent 2 3 4 4 3 2" xfId="3283"/>
    <cellStyle name="20% - akcent 2 3 4 4 3 2 2" xfId="3284"/>
    <cellStyle name="20% - akcent 2 3 4 4 3 3" xfId="3285"/>
    <cellStyle name="20% - akcent 2 3 4 4 3 3 2" xfId="3286"/>
    <cellStyle name="20% - akcent 2 3 4 4 3 4" xfId="3287"/>
    <cellStyle name="20% - akcent 2 3 4 4 4" xfId="3288"/>
    <cellStyle name="20% - akcent 2 3 4 4 4 2" xfId="3289"/>
    <cellStyle name="20% - akcent 2 3 4 4 5" xfId="3290"/>
    <cellStyle name="20% - akcent 2 3 4 4 5 2" xfId="3291"/>
    <cellStyle name="20% - akcent 2 3 4 4 6" xfId="3292"/>
    <cellStyle name="20% - akcent 2 3 4 5" xfId="3293"/>
    <cellStyle name="20% - akcent 2 3 4 5 2" xfId="3294"/>
    <cellStyle name="20% - akcent 2 3 4 5 2 2" xfId="3295"/>
    <cellStyle name="20% - akcent 2 3 4 5 2 2 2" xfId="3296"/>
    <cellStyle name="20% - akcent 2 3 4 5 2 3" xfId="3297"/>
    <cellStyle name="20% - akcent 2 3 4 5 2 3 2" xfId="3298"/>
    <cellStyle name="20% - akcent 2 3 4 5 2 4" xfId="3299"/>
    <cellStyle name="20% - akcent 2 3 4 5 3" xfId="3300"/>
    <cellStyle name="20% - akcent 2 3 4 5 3 2" xfId="3301"/>
    <cellStyle name="20% - akcent 2 3 4 5 4" xfId="3302"/>
    <cellStyle name="20% - akcent 2 3 4 5 4 2" xfId="3303"/>
    <cellStyle name="20% - akcent 2 3 4 5 5" xfId="3304"/>
    <cellStyle name="20% - akcent 2 3 4 6" xfId="3305"/>
    <cellStyle name="20% - akcent 2 3 4 6 2" xfId="3306"/>
    <cellStyle name="20% - akcent 2 3 4 6 2 2" xfId="3307"/>
    <cellStyle name="20% - akcent 2 3 4 6 2 2 2" xfId="3308"/>
    <cellStyle name="20% - akcent 2 3 4 6 2 3" xfId="3309"/>
    <cellStyle name="20% - akcent 2 3 4 6 2 3 2" xfId="3310"/>
    <cellStyle name="20% - akcent 2 3 4 6 2 4" xfId="3311"/>
    <cellStyle name="20% - akcent 2 3 4 6 3" xfId="3312"/>
    <cellStyle name="20% - akcent 2 3 4 6 3 2" xfId="3313"/>
    <cellStyle name="20% - akcent 2 3 4 6 4" xfId="3314"/>
    <cellStyle name="20% - akcent 2 3 4 6 4 2" xfId="3315"/>
    <cellStyle name="20% - akcent 2 3 4 6 5" xfId="3316"/>
    <cellStyle name="20% - akcent 2 3 4 7" xfId="3317"/>
    <cellStyle name="20% - akcent 2 3 4 7 2" xfId="3318"/>
    <cellStyle name="20% - akcent 2 3 4 7 2 2" xfId="3319"/>
    <cellStyle name="20% - akcent 2 3 4 7 2 2 2" xfId="3320"/>
    <cellStyle name="20% - akcent 2 3 4 7 2 3" xfId="3321"/>
    <cellStyle name="20% - akcent 2 3 4 7 2 3 2" xfId="3322"/>
    <cellStyle name="20% - akcent 2 3 4 7 2 4" xfId="3323"/>
    <cellStyle name="20% - akcent 2 3 4 7 3" xfId="3324"/>
    <cellStyle name="20% - akcent 2 3 4 7 3 2" xfId="3325"/>
    <cellStyle name="20% - akcent 2 3 4 7 4" xfId="3326"/>
    <cellStyle name="20% - akcent 2 3 4 7 4 2" xfId="3327"/>
    <cellStyle name="20% - akcent 2 3 4 7 5" xfId="3328"/>
    <cellStyle name="20% - akcent 2 3 4 8" xfId="3329"/>
    <cellStyle name="20% - akcent 2 3 4 8 2" xfId="3330"/>
    <cellStyle name="20% - akcent 2 3 4 8 2 2" xfId="3331"/>
    <cellStyle name="20% - akcent 2 3 4 8 3" xfId="3332"/>
    <cellStyle name="20% - akcent 2 3 4 8 3 2" xfId="3333"/>
    <cellStyle name="20% - akcent 2 3 4 8 4" xfId="3334"/>
    <cellStyle name="20% - akcent 2 3 4 9" xfId="3335"/>
    <cellStyle name="20% - akcent 2 3 4 9 2" xfId="3336"/>
    <cellStyle name="20% - akcent 2 3 5" xfId="3337"/>
    <cellStyle name="20% - akcent 2 3 5 10" xfId="3338"/>
    <cellStyle name="20% - akcent 2 3 5 2" xfId="3339"/>
    <cellStyle name="20% - akcent 2 3 5 2 2" xfId="3340"/>
    <cellStyle name="20% - akcent 2 3 5 2 2 2" xfId="3341"/>
    <cellStyle name="20% - akcent 2 3 5 2 2 2 2" xfId="3342"/>
    <cellStyle name="20% - akcent 2 3 5 2 2 2 2 2" xfId="3343"/>
    <cellStyle name="20% - akcent 2 3 5 2 2 2 3" xfId="3344"/>
    <cellStyle name="20% - akcent 2 3 5 2 2 2 3 2" xfId="3345"/>
    <cellStyle name="20% - akcent 2 3 5 2 2 2 4" xfId="3346"/>
    <cellStyle name="20% - akcent 2 3 5 2 2 3" xfId="3347"/>
    <cellStyle name="20% - akcent 2 3 5 2 2 3 2" xfId="3348"/>
    <cellStyle name="20% - akcent 2 3 5 2 2 4" xfId="3349"/>
    <cellStyle name="20% - akcent 2 3 5 2 2 4 2" xfId="3350"/>
    <cellStyle name="20% - akcent 2 3 5 2 2 5" xfId="3351"/>
    <cellStyle name="20% - akcent 2 3 5 2 3" xfId="3352"/>
    <cellStyle name="20% - akcent 2 3 5 2 3 2" xfId="3353"/>
    <cellStyle name="20% - akcent 2 3 5 2 3 2 2" xfId="3354"/>
    <cellStyle name="20% - akcent 2 3 5 2 3 2 2 2" xfId="3355"/>
    <cellStyle name="20% - akcent 2 3 5 2 3 2 3" xfId="3356"/>
    <cellStyle name="20% - akcent 2 3 5 2 3 2 3 2" xfId="3357"/>
    <cellStyle name="20% - akcent 2 3 5 2 3 2 4" xfId="3358"/>
    <cellStyle name="20% - akcent 2 3 5 2 3 3" xfId="3359"/>
    <cellStyle name="20% - akcent 2 3 5 2 3 3 2" xfId="3360"/>
    <cellStyle name="20% - akcent 2 3 5 2 3 4" xfId="3361"/>
    <cellStyle name="20% - akcent 2 3 5 2 3 4 2" xfId="3362"/>
    <cellStyle name="20% - akcent 2 3 5 2 3 5" xfId="3363"/>
    <cellStyle name="20% - akcent 2 3 5 2 4" xfId="3364"/>
    <cellStyle name="20% - akcent 2 3 5 2 4 2" xfId="3365"/>
    <cellStyle name="20% - akcent 2 3 5 2 4 2 2" xfId="3366"/>
    <cellStyle name="20% - akcent 2 3 5 2 4 2 2 2" xfId="3367"/>
    <cellStyle name="20% - akcent 2 3 5 2 4 2 3" xfId="3368"/>
    <cellStyle name="20% - akcent 2 3 5 2 4 2 3 2" xfId="3369"/>
    <cellStyle name="20% - akcent 2 3 5 2 4 2 4" xfId="3370"/>
    <cellStyle name="20% - akcent 2 3 5 2 4 3" xfId="3371"/>
    <cellStyle name="20% - akcent 2 3 5 2 4 3 2" xfId="3372"/>
    <cellStyle name="20% - akcent 2 3 5 2 4 4" xfId="3373"/>
    <cellStyle name="20% - akcent 2 3 5 2 4 4 2" xfId="3374"/>
    <cellStyle name="20% - akcent 2 3 5 2 4 5" xfId="3375"/>
    <cellStyle name="20% - akcent 2 3 5 2 5" xfId="3376"/>
    <cellStyle name="20% - akcent 2 3 5 2 5 2" xfId="3377"/>
    <cellStyle name="20% - akcent 2 3 5 2 5 2 2" xfId="3378"/>
    <cellStyle name="20% - akcent 2 3 5 2 5 3" xfId="3379"/>
    <cellStyle name="20% - akcent 2 3 5 2 5 3 2" xfId="3380"/>
    <cellStyle name="20% - akcent 2 3 5 2 5 4" xfId="3381"/>
    <cellStyle name="20% - akcent 2 3 5 2 6" xfId="3382"/>
    <cellStyle name="20% - akcent 2 3 5 2 6 2" xfId="3383"/>
    <cellStyle name="20% - akcent 2 3 5 2 7" xfId="3384"/>
    <cellStyle name="20% - akcent 2 3 5 2 7 2" xfId="3385"/>
    <cellStyle name="20% - akcent 2 3 5 2 8" xfId="3386"/>
    <cellStyle name="20% - akcent 2 3 5 3" xfId="3387"/>
    <cellStyle name="20% - akcent 2 3 5 3 2" xfId="3388"/>
    <cellStyle name="20% - akcent 2 3 5 3 2 2" xfId="3389"/>
    <cellStyle name="20% - akcent 2 3 5 3 2 2 2" xfId="3390"/>
    <cellStyle name="20% - akcent 2 3 5 3 2 2 2 2" xfId="3391"/>
    <cellStyle name="20% - akcent 2 3 5 3 2 2 3" xfId="3392"/>
    <cellStyle name="20% - akcent 2 3 5 3 2 2 3 2" xfId="3393"/>
    <cellStyle name="20% - akcent 2 3 5 3 2 2 4" xfId="3394"/>
    <cellStyle name="20% - akcent 2 3 5 3 2 3" xfId="3395"/>
    <cellStyle name="20% - akcent 2 3 5 3 2 3 2" xfId="3396"/>
    <cellStyle name="20% - akcent 2 3 5 3 2 4" xfId="3397"/>
    <cellStyle name="20% - akcent 2 3 5 3 2 4 2" xfId="3398"/>
    <cellStyle name="20% - akcent 2 3 5 3 2 5" xfId="3399"/>
    <cellStyle name="20% - akcent 2 3 5 3 3" xfId="3400"/>
    <cellStyle name="20% - akcent 2 3 5 3 3 2" xfId="3401"/>
    <cellStyle name="20% - akcent 2 3 5 3 3 2 2" xfId="3402"/>
    <cellStyle name="20% - akcent 2 3 5 3 3 2 2 2" xfId="3403"/>
    <cellStyle name="20% - akcent 2 3 5 3 3 2 3" xfId="3404"/>
    <cellStyle name="20% - akcent 2 3 5 3 3 2 3 2" xfId="3405"/>
    <cellStyle name="20% - akcent 2 3 5 3 3 2 4" xfId="3406"/>
    <cellStyle name="20% - akcent 2 3 5 3 3 3" xfId="3407"/>
    <cellStyle name="20% - akcent 2 3 5 3 3 3 2" xfId="3408"/>
    <cellStyle name="20% - akcent 2 3 5 3 3 4" xfId="3409"/>
    <cellStyle name="20% - akcent 2 3 5 3 3 4 2" xfId="3410"/>
    <cellStyle name="20% - akcent 2 3 5 3 3 5" xfId="3411"/>
    <cellStyle name="20% - akcent 2 3 5 3 4" xfId="3412"/>
    <cellStyle name="20% - akcent 2 3 5 3 4 2" xfId="3413"/>
    <cellStyle name="20% - akcent 2 3 5 3 4 2 2" xfId="3414"/>
    <cellStyle name="20% - akcent 2 3 5 3 4 2 2 2" xfId="3415"/>
    <cellStyle name="20% - akcent 2 3 5 3 4 2 3" xfId="3416"/>
    <cellStyle name="20% - akcent 2 3 5 3 4 2 3 2" xfId="3417"/>
    <cellStyle name="20% - akcent 2 3 5 3 4 2 4" xfId="3418"/>
    <cellStyle name="20% - akcent 2 3 5 3 4 3" xfId="3419"/>
    <cellStyle name="20% - akcent 2 3 5 3 4 3 2" xfId="3420"/>
    <cellStyle name="20% - akcent 2 3 5 3 4 4" xfId="3421"/>
    <cellStyle name="20% - akcent 2 3 5 3 4 4 2" xfId="3422"/>
    <cellStyle name="20% - akcent 2 3 5 3 4 5" xfId="3423"/>
    <cellStyle name="20% - akcent 2 3 5 3 5" xfId="3424"/>
    <cellStyle name="20% - akcent 2 3 5 3 5 2" xfId="3425"/>
    <cellStyle name="20% - akcent 2 3 5 3 5 2 2" xfId="3426"/>
    <cellStyle name="20% - akcent 2 3 5 3 5 3" xfId="3427"/>
    <cellStyle name="20% - akcent 2 3 5 3 5 3 2" xfId="3428"/>
    <cellStyle name="20% - akcent 2 3 5 3 5 4" xfId="3429"/>
    <cellStyle name="20% - akcent 2 3 5 3 6" xfId="3430"/>
    <cellStyle name="20% - akcent 2 3 5 3 6 2" xfId="3431"/>
    <cellStyle name="20% - akcent 2 3 5 3 7" xfId="3432"/>
    <cellStyle name="20% - akcent 2 3 5 3 7 2" xfId="3433"/>
    <cellStyle name="20% - akcent 2 3 5 3 8" xfId="3434"/>
    <cellStyle name="20% - akcent 2 3 5 4" xfId="3435"/>
    <cellStyle name="20% - akcent 2 3 5 4 2" xfId="3436"/>
    <cellStyle name="20% - akcent 2 3 5 4 2 2" xfId="3437"/>
    <cellStyle name="20% - akcent 2 3 5 4 2 2 2" xfId="3438"/>
    <cellStyle name="20% - akcent 2 3 5 4 2 3" xfId="3439"/>
    <cellStyle name="20% - akcent 2 3 5 4 2 3 2" xfId="3440"/>
    <cellStyle name="20% - akcent 2 3 5 4 2 4" xfId="3441"/>
    <cellStyle name="20% - akcent 2 3 5 4 3" xfId="3442"/>
    <cellStyle name="20% - akcent 2 3 5 4 3 2" xfId="3443"/>
    <cellStyle name="20% - akcent 2 3 5 4 4" xfId="3444"/>
    <cellStyle name="20% - akcent 2 3 5 4 4 2" xfId="3445"/>
    <cellStyle name="20% - akcent 2 3 5 4 5" xfId="3446"/>
    <cellStyle name="20% - akcent 2 3 5 5" xfId="3447"/>
    <cellStyle name="20% - akcent 2 3 5 5 2" xfId="3448"/>
    <cellStyle name="20% - akcent 2 3 5 5 2 2" xfId="3449"/>
    <cellStyle name="20% - akcent 2 3 5 5 2 2 2" xfId="3450"/>
    <cellStyle name="20% - akcent 2 3 5 5 2 3" xfId="3451"/>
    <cellStyle name="20% - akcent 2 3 5 5 2 3 2" xfId="3452"/>
    <cellStyle name="20% - akcent 2 3 5 5 2 4" xfId="3453"/>
    <cellStyle name="20% - akcent 2 3 5 5 3" xfId="3454"/>
    <cellStyle name="20% - akcent 2 3 5 5 3 2" xfId="3455"/>
    <cellStyle name="20% - akcent 2 3 5 5 4" xfId="3456"/>
    <cellStyle name="20% - akcent 2 3 5 5 4 2" xfId="3457"/>
    <cellStyle name="20% - akcent 2 3 5 5 5" xfId="3458"/>
    <cellStyle name="20% - akcent 2 3 5 6" xfId="3459"/>
    <cellStyle name="20% - akcent 2 3 5 6 2" xfId="3460"/>
    <cellStyle name="20% - akcent 2 3 5 6 2 2" xfId="3461"/>
    <cellStyle name="20% - akcent 2 3 5 6 2 2 2" xfId="3462"/>
    <cellStyle name="20% - akcent 2 3 5 6 2 3" xfId="3463"/>
    <cellStyle name="20% - akcent 2 3 5 6 2 3 2" xfId="3464"/>
    <cellStyle name="20% - akcent 2 3 5 6 2 4" xfId="3465"/>
    <cellStyle name="20% - akcent 2 3 5 6 3" xfId="3466"/>
    <cellStyle name="20% - akcent 2 3 5 6 3 2" xfId="3467"/>
    <cellStyle name="20% - akcent 2 3 5 6 4" xfId="3468"/>
    <cellStyle name="20% - akcent 2 3 5 6 4 2" xfId="3469"/>
    <cellStyle name="20% - akcent 2 3 5 6 5" xfId="3470"/>
    <cellStyle name="20% - akcent 2 3 5 7" xfId="3471"/>
    <cellStyle name="20% - akcent 2 3 5 7 2" xfId="3472"/>
    <cellStyle name="20% - akcent 2 3 5 7 2 2" xfId="3473"/>
    <cellStyle name="20% - akcent 2 3 5 7 3" xfId="3474"/>
    <cellStyle name="20% - akcent 2 3 5 7 3 2" xfId="3475"/>
    <cellStyle name="20% - akcent 2 3 5 7 4" xfId="3476"/>
    <cellStyle name="20% - akcent 2 3 5 8" xfId="3477"/>
    <cellStyle name="20% - akcent 2 3 5 8 2" xfId="3478"/>
    <cellStyle name="20% - akcent 2 3 5 9" xfId="3479"/>
    <cellStyle name="20% - akcent 2 3 5 9 2" xfId="3480"/>
    <cellStyle name="20% - akcent 2 3 6" xfId="3481"/>
    <cellStyle name="20% - akcent 2 3 6 10" xfId="3482"/>
    <cellStyle name="20% - akcent 2 3 6 2" xfId="3483"/>
    <cellStyle name="20% - akcent 2 3 6 2 2" xfId="3484"/>
    <cellStyle name="20% - akcent 2 3 6 2 2 2" xfId="3485"/>
    <cellStyle name="20% - akcent 2 3 6 2 2 2 2" xfId="3486"/>
    <cellStyle name="20% - akcent 2 3 6 2 2 2 2 2" xfId="3487"/>
    <cellStyle name="20% - akcent 2 3 6 2 2 2 3" xfId="3488"/>
    <cellStyle name="20% - akcent 2 3 6 2 2 2 3 2" xfId="3489"/>
    <cellStyle name="20% - akcent 2 3 6 2 2 2 4" xfId="3490"/>
    <cellStyle name="20% - akcent 2 3 6 2 2 3" xfId="3491"/>
    <cellStyle name="20% - akcent 2 3 6 2 2 3 2" xfId="3492"/>
    <cellStyle name="20% - akcent 2 3 6 2 2 4" xfId="3493"/>
    <cellStyle name="20% - akcent 2 3 6 2 2 4 2" xfId="3494"/>
    <cellStyle name="20% - akcent 2 3 6 2 2 5" xfId="3495"/>
    <cellStyle name="20% - akcent 2 3 6 2 3" xfId="3496"/>
    <cellStyle name="20% - akcent 2 3 6 2 3 2" xfId="3497"/>
    <cellStyle name="20% - akcent 2 3 6 2 3 2 2" xfId="3498"/>
    <cellStyle name="20% - akcent 2 3 6 2 3 2 2 2" xfId="3499"/>
    <cellStyle name="20% - akcent 2 3 6 2 3 2 3" xfId="3500"/>
    <cellStyle name="20% - akcent 2 3 6 2 3 2 3 2" xfId="3501"/>
    <cellStyle name="20% - akcent 2 3 6 2 3 2 4" xfId="3502"/>
    <cellStyle name="20% - akcent 2 3 6 2 3 3" xfId="3503"/>
    <cellStyle name="20% - akcent 2 3 6 2 3 3 2" xfId="3504"/>
    <cellStyle name="20% - akcent 2 3 6 2 3 4" xfId="3505"/>
    <cellStyle name="20% - akcent 2 3 6 2 3 4 2" xfId="3506"/>
    <cellStyle name="20% - akcent 2 3 6 2 3 5" xfId="3507"/>
    <cellStyle name="20% - akcent 2 3 6 2 4" xfId="3508"/>
    <cellStyle name="20% - akcent 2 3 6 2 4 2" xfId="3509"/>
    <cellStyle name="20% - akcent 2 3 6 2 4 2 2" xfId="3510"/>
    <cellStyle name="20% - akcent 2 3 6 2 4 2 2 2" xfId="3511"/>
    <cellStyle name="20% - akcent 2 3 6 2 4 2 3" xfId="3512"/>
    <cellStyle name="20% - akcent 2 3 6 2 4 2 3 2" xfId="3513"/>
    <cellStyle name="20% - akcent 2 3 6 2 4 2 4" xfId="3514"/>
    <cellStyle name="20% - akcent 2 3 6 2 4 3" xfId="3515"/>
    <cellStyle name="20% - akcent 2 3 6 2 4 3 2" xfId="3516"/>
    <cellStyle name="20% - akcent 2 3 6 2 4 4" xfId="3517"/>
    <cellStyle name="20% - akcent 2 3 6 2 4 4 2" xfId="3518"/>
    <cellStyle name="20% - akcent 2 3 6 2 4 5" xfId="3519"/>
    <cellStyle name="20% - akcent 2 3 6 2 5" xfId="3520"/>
    <cellStyle name="20% - akcent 2 3 6 2 5 2" xfId="3521"/>
    <cellStyle name="20% - akcent 2 3 6 2 5 2 2" xfId="3522"/>
    <cellStyle name="20% - akcent 2 3 6 2 5 3" xfId="3523"/>
    <cellStyle name="20% - akcent 2 3 6 2 5 3 2" xfId="3524"/>
    <cellStyle name="20% - akcent 2 3 6 2 5 4" xfId="3525"/>
    <cellStyle name="20% - akcent 2 3 6 2 6" xfId="3526"/>
    <cellStyle name="20% - akcent 2 3 6 2 6 2" xfId="3527"/>
    <cellStyle name="20% - akcent 2 3 6 2 7" xfId="3528"/>
    <cellStyle name="20% - akcent 2 3 6 2 7 2" xfId="3529"/>
    <cellStyle name="20% - akcent 2 3 6 2 8" xfId="3530"/>
    <cellStyle name="20% - akcent 2 3 6 3" xfId="3531"/>
    <cellStyle name="20% - akcent 2 3 6 3 2" xfId="3532"/>
    <cellStyle name="20% - akcent 2 3 6 3 2 2" xfId="3533"/>
    <cellStyle name="20% - akcent 2 3 6 3 2 2 2" xfId="3534"/>
    <cellStyle name="20% - akcent 2 3 6 3 2 2 2 2" xfId="3535"/>
    <cellStyle name="20% - akcent 2 3 6 3 2 2 3" xfId="3536"/>
    <cellStyle name="20% - akcent 2 3 6 3 2 2 3 2" xfId="3537"/>
    <cellStyle name="20% - akcent 2 3 6 3 2 2 4" xfId="3538"/>
    <cellStyle name="20% - akcent 2 3 6 3 2 3" xfId="3539"/>
    <cellStyle name="20% - akcent 2 3 6 3 2 3 2" xfId="3540"/>
    <cellStyle name="20% - akcent 2 3 6 3 2 4" xfId="3541"/>
    <cellStyle name="20% - akcent 2 3 6 3 2 4 2" xfId="3542"/>
    <cellStyle name="20% - akcent 2 3 6 3 2 5" xfId="3543"/>
    <cellStyle name="20% - akcent 2 3 6 3 3" xfId="3544"/>
    <cellStyle name="20% - akcent 2 3 6 3 3 2" xfId="3545"/>
    <cellStyle name="20% - akcent 2 3 6 3 3 2 2" xfId="3546"/>
    <cellStyle name="20% - akcent 2 3 6 3 3 2 2 2" xfId="3547"/>
    <cellStyle name="20% - akcent 2 3 6 3 3 2 3" xfId="3548"/>
    <cellStyle name="20% - akcent 2 3 6 3 3 2 3 2" xfId="3549"/>
    <cellStyle name="20% - akcent 2 3 6 3 3 2 4" xfId="3550"/>
    <cellStyle name="20% - akcent 2 3 6 3 3 3" xfId="3551"/>
    <cellStyle name="20% - akcent 2 3 6 3 3 3 2" xfId="3552"/>
    <cellStyle name="20% - akcent 2 3 6 3 3 4" xfId="3553"/>
    <cellStyle name="20% - akcent 2 3 6 3 3 4 2" xfId="3554"/>
    <cellStyle name="20% - akcent 2 3 6 3 3 5" xfId="3555"/>
    <cellStyle name="20% - akcent 2 3 6 3 4" xfId="3556"/>
    <cellStyle name="20% - akcent 2 3 6 3 4 2" xfId="3557"/>
    <cellStyle name="20% - akcent 2 3 6 3 4 2 2" xfId="3558"/>
    <cellStyle name="20% - akcent 2 3 6 3 4 2 2 2" xfId="3559"/>
    <cellStyle name="20% - akcent 2 3 6 3 4 2 3" xfId="3560"/>
    <cellStyle name="20% - akcent 2 3 6 3 4 2 3 2" xfId="3561"/>
    <cellStyle name="20% - akcent 2 3 6 3 4 2 4" xfId="3562"/>
    <cellStyle name="20% - akcent 2 3 6 3 4 3" xfId="3563"/>
    <cellStyle name="20% - akcent 2 3 6 3 4 3 2" xfId="3564"/>
    <cellStyle name="20% - akcent 2 3 6 3 4 4" xfId="3565"/>
    <cellStyle name="20% - akcent 2 3 6 3 4 4 2" xfId="3566"/>
    <cellStyle name="20% - akcent 2 3 6 3 4 5" xfId="3567"/>
    <cellStyle name="20% - akcent 2 3 6 3 5" xfId="3568"/>
    <cellStyle name="20% - akcent 2 3 6 3 5 2" xfId="3569"/>
    <cellStyle name="20% - akcent 2 3 6 3 5 2 2" xfId="3570"/>
    <cellStyle name="20% - akcent 2 3 6 3 5 3" xfId="3571"/>
    <cellStyle name="20% - akcent 2 3 6 3 5 3 2" xfId="3572"/>
    <cellStyle name="20% - akcent 2 3 6 3 5 4" xfId="3573"/>
    <cellStyle name="20% - akcent 2 3 6 3 6" xfId="3574"/>
    <cellStyle name="20% - akcent 2 3 6 3 6 2" xfId="3575"/>
    <cellStyle name="20% - akcent 2 3 6 3 7" xfId="3576"/>
    <cellStyle name="20% - akcent 2 3 6 3 7 2" xfId="3577"/>
    <cellStyle name="20% - akcent 2 3 6 3 8" xfId="3578"/>
    <cellStyle name="20% - akcent 2 3 6 4" xfId="3579"/>
    <cellStyle name="20% - akcent 2 3 6 4 2" xfId="3580"/>
    <cellStyle name="20% - akcent 2 3 6 4 2 2" xfId="3581"/>
    <cellStyle name="20% - akcent 2 3 6 4 2 2 2" xfId="3582"/>
    <cellStyle name="20% - akcent 2 3 6 4 2 3" xfId="3583"/>
    <cellStyle name="20% - akcent 2 3 6 4 2 3 2" xfId="3584"/>
    <cellStyle name="20% - akcent 2 3 6 4 2 4" xfId="3585"/>
    <cellStyle name="20% - akcent 2 3 6 4 3" xfId="3586"/>
    <cellStyle name="20% - akcent 2 3 6 4 3 2" xfId="3587"/>
    <cellStyle name="20% - akcent 2 3 6 4 4" xfId="3588"/>
    <cellStyle name="20% - akcent 2 3 6 4 4 2" xfId="3589"/>
    <cellStyle name="20% - akcent 2 3 6 4 5" xfId="3590"/>
    <cellStyle name="20% - akcent 2 3 6 5" xfId="3591"/>
    <cellStyle name="20% - akcent 2 3 6 5 2" xfId="3592"/>
    <cellStyle name="20% - akcent 2 3 6 5 2 2" xfId="3593"/>
    <cellStyle name="20% - akcent 2 3 6 5 2 2 2" xfId="3594"/>
    <cellStyle name="20% - akcent 2 3 6 5 2 3" xfId="3595"/>
    <cellStyle name="20% - akcent 2 3 6 5 2 3 2" xfId="3596"/>
    <cellStyle name="20% - akcent 2 3 6 5 2 4" xfId="3597"/>
    <cellStyle name="20% - akcent 2 3 6 5 3" xfId="3598"/>
    <cellStyle name="20% - akcent 2 3 6 5 3 2" xfId="3599"/>
    <cellStyle name="20% - akcent 2 3 6 5 4" xfId="3600"/>
    <cellStyle name="20% - akcent 2 3 6 5 4 2" xfId="3601"/>
    <cellStyle name="20% - akcent 2 3 6 5 5" xfId="3602"/>
    <cellStyle name="20% - akcent 2 3 6 6" xfId="3603"/>
    <cellStyle name="20% - akcent 2 3 6 6 2" xfId="3604"/>
    <cellStyle name="20% - akcent 2 3 6 6 2 2" xfId="3605"/>
    <cellStyle name="20% - akcent 2 3 6 6 2 2 2" xfId="3606"/>
    <cellStyle name="20% - akcent 2 3 6 6 2 3" xfId="3607"/>
    <cellStyle name="20% - akcent 2 3 6 6 2 3 2" xfId="3608"/>
    <cellStyle name="20% - akcent 2 3 6 6 2 4" xfId="3609"/>
    <cellStyle name="20% - akcent 2 3 6 6 3" xfId="3610"/>
    <cellStyle name="20% - akcent 2 3 6 6 3 2" xfId="3611"/>
    <cellStyle name="20% - akcent 2 3 6 6 4" xfId="3612"/>
    <cellStyle name="20% - akcent 2 3 6 6 4 2" xfId="3613"/>
    <cellStyle name="20% - akcent 2 3 6 6 5" xfId="3614"/>
    <cellStyle name="20% - akcent 2 3 6 7" xfId="3615"/>
    <cellStyle name="20% - akcent 2 3 6 7 2" xfId="3616"/>
    <cellStyle name="20% - akcent 2 3 6 7 2 2" xfId="3617"/>
    <cellStyle name="20% - akcent 2 3 6 7 3" xfId="3618"/>
    <cellStyle name="20% - akcent 2 3 6 7 3 2" xfId="3619"/>
    <cellStyle name="20% - akcent 2 3 6 7 4" xfId="3620"/>
    <cellStyle name="20% - akcent 2 3 6 8" xfId="3621"/>
    <cellStyle name="20% - akcent 2 3 6 8 2" xfId="3622"/>
    <cellStyle name="20% - akcent 2 3 6 9" xfId="3623"/>
    <cellStyle name="20% - akcent 2 3 6 9 2" xfId="3624"/>
    <cellStyle name="20% - akcent 2 3 7" xfId="3625"/>
    <cellStyle name="20% - akcent 2 3 7 2" xfId="3626"/>
    <cellStyle name="20% - akcent 2 3 7 2 2" xfId="3627"/>
    <cellStyle name="20% - akcent 2 3 7 2 2 2" xfId="3628"/>
    <cellStyle name="20% - akcent 2 3 7 2 2 2 2" xfId="3629"/>
    <cellStyle name="20% - akcent 2 3 7 2 2 2 2 2" xfId="3630"/>
    <cellStyle name="20% - akcent 2 3 7 2 2 2 3" xfId="3631"/>
    <cellStyle name="20% - akcent 2 3 7 2 2 2 3 2" xfId="3632"/>
    <cellStyle name="20% - akcent 2 3 7 2 2 2 4" xfId="3633"/>
    <cellStyle name="20% - akcent 2 3 7 2 2 3" xfId="3634"/>
    <cellStyle name="20% - akcent 2 3 7 2 2 3 2" xfId="3635"/>
    <cellStyle name="20% - akcent 2 3 7 2 2 4" xfId="3636"/>
    <cellStyle name="20% - akcent 2 3 7 2 2 4 2" xfId="3637"/>
    <cellStyle name="20% - akcent 2 3 7 2 2 5" xfId="3638"/>
    <cellStyle name="20% - akcent 2 3 7 2 3" xfId="3639"/>
    <cellStyle name="20% - akcent 2 3 7 2 3 2" xfId="3640"/>
    <cellStyle name="20% - akcent 2 3 7 2 3 2 2" xfId="3641"/>
    <cellStyle name="20% - akcent 2 3 7 2 3 2 2 2" xfId="3642"/>
    <cellStyle name="20% - akcent 2 3 7 2 3 2 3" xfId="3643"/>
    <cellStyle name="20% - akcent 2 3 7 2 3 2 3 2" xfId="3644"/>
    <cellStyle name="20% - akcent 2 3 7 2 3 2 4" xfId="3645"/>
    <cellStyle name="20% - akcent 2 3 7 2 3 3" xfId="3646"/>
    <cellStyle name="20% - akcent 2 3 7 2 3 3 2" xfId="3647"/>
    <cellStyle name="20% - akcent 2 3 7 2 3 4" xfId="3648"/>
    <cellStyle name="20% - akcent 2 3 7 2 3 4 2" xfId="3649"/>
    <cellStyle name="20% - akcent 2 3 7 2 3 5" xfId="3650"/>
    <cellStyle name="20% - akcent 2 3 7 2 4" xfId="3651"/>
    <cellStyle name="20% - akcent 2 3 7 2 4 2" xfId="3652"/>
    <cellStyle name="20% - akcent 2 3 7 2 4 2 2" xfId="3653"/>
    <cellStyle name="20% - akcent 2 3 7 2 4 2 2 2" xfId="3654"/>
    <cellStyle name="20% - akcent 2 3 7 2 4 2 3" xfId="3655"/>
    <cellStyle name="20% - akcent 2 3 7 2 4 2 3 2" xfId="3656"/>
    <cellStyle name="20% - akcent 2 3 7 2 4 2 4" xfId="3657"/>
    <cellStyle name="20% - akcent 2 3 7 2 4 3" xfId="3658"/>
    <cellStyle name="20% - akcent 2 3 7 2 4 3 2" xfId="3659"/>
    <cellStyle name="20% - akcent 2 3 7 2 4 4" xfId="3660"/>
    <cellStyle name="20% - akcent 2 3 7 2 4 4 2" xfId="3661"/>
    <cellStyle name="20% - akcent 2 3 7 2 4 5" xfId="3662"/>
    <cellStyle name="20% - akcent 2 3 7 2 5" xfId="3663"/>
    <cellStyle name="20% - akcent 2 3 7 2 5 2" xfId="3664"/>
    <cellStyle name="20% - akcent 2 3 7 2 5 2 2" xfId="3665"/>
    <cellStyle name="20% - akcent 2 3 7 2 5 3" xfId="3666"/>
    <cellStyle name="20% - akcent 2 3 7 2 5 3 2" xfId="3667"/>
    <cellStyle name="20% - akcent 2 3 7 2 5 4" xfId="3668"/>
    <cellStyle name="20% - akcent 2 3 7 2 6" xfId="3669"/>
    <cellStyle name="20% - akcent 2 3 7 2 6 2" xfId="3670"/>
    <cellStyle name="20% - akcent 2 3 7 2 7" xfId="3671"/>
    <cellStyle name="20% - akcent 2 3 7 2 7 2" xfId="3672"/>
    <cellStyle name="20% - akcent 2 3 7 2 8" xfId="3673"/>
    <cellStyle name="20% - akcent 2 3 7 3" xfId="3674"/>
    <cellStyle name="20% - akcent 2 3 7 3 2" xfId="3675"/>
    <cellStyle name="20% - akcent 2 3 7 3 2 2" xfId="3676"/>
    <cellStyle name="20% - akcent 2 3 7 3 2 2 2" xfId="3677"/>
    <cellStyle name="20% - akcent 2 3 7 3 2 3" xfId="3678"/>
    <cellStyle name="20% - akcent 2 3 7 3 2 3 2" xfId="3679"/>
    <cellStyle name="20% - akcent 2 3 7 3 2 4" xfId="3680"/>
    <cellStyle name="20% - akcent 2 3 7 3 3" xfId="3681"/>
    <cellStyle name="20% - akcent 2 3 7 3 3 2" xfId="3682"/>
    <cellStyle name="20% - akcent 2 3 7 3 4" xfId="3683"/>
    <cellStyle name="20% - akcent 2 3 7 3 4 2" xfId="3684"/>
    <cellStyle name="20% - akcent 2 3 7 3 5" xfId="3685"/>
    <cellStyle name="20% - akcent 2 3 7 4" xfId="3686"/>
    <cellStyle name="20% - akcent 2 3 7 4 2" xfId="3687"/>
    <cellStyle name="20% - akcent 2 3 7 4 2 2" xfId="3688"/>
    <cellStyle name="20% - akcent 2 3 7 4 2 2 2" xfId="3689"/>
    <cellStyle name="20% - akcent 2 3 7 4 2 3" xfId="3690"/>
    <cellStyle name="20% - akcent 2 3 7 4 2 3 2" xfId="3691"/>
    <cellStyle name="20% - akcent 2 3 7 4 2 4" xfId="3692"/>
    <cellStyle name="20% - akcent 2 3 7 4 3" xfId="3693"/>
    <cellStyle name="20% - akcent 2 3 7 4 3 2" xfId="3694"/>
    <cellStyle name="20% - akcent 2 3 7 4 4" xfId="3695"/>
    <cellStyle name="20% - akcent 2 3 7 4 4 2" xfId="3696"/>
    <cellStyle name="20% - akcent 2 3 7 4 5" xfId="3697"/>
    <cellStyle name="20% - akcent 2 3 7 5" xfId="3698"/>
    <cellStyle name="20% - akcent 2 3 7 5 2" xfId="3699"/>
    <cellStyle name="20% - akcent 2 3 7 5 2 2" xfId="3700"/>
    <cellStyle name="20% - akcent 2 3 7 5 2 2 2" xfId="3701"/>
    <cellStyle name="20% - akcent 2 3 7 5 2 3" xfId="3702"/>
    <cellStyle name="20% - akcent 2 3 7 5 2 3 2" xfId="3703"/>
    <cellStyle name="20% - akcent 2 3 7 5 2 4" xfId="3704"/>
    <cellStyle name="20% - akcent 2 3 7 5 3" xfId="3705"/>
    <cellStyle name="20% - akcent 2 3 7 5 3 2" xfId="3706"/>
    <cellStyle name="20% - akcent 2 3 7 5 4" xfId="3707"/>
    <cellStyle name="20% - akcent 2 3 7 5 4 2" xfId="3708"/>
    <cellStyle name="20% - akcent 2 3 7 5 5" xfId="3709"/>
    <cellStyle name="20% - akcent 2 3 7 6" xfId="3710"/>
    <cellStyle name="20% - akcent 2 3 7 6 2" xfId="3711"/>
    <cellStyle name="20% - akcent 2 3 7 6 2 2" xfId="3712"/>
    <cellStyle name="20% - akcent 2 3 7 6 3" xfId="3713"/>
    <cellStyle name="20% - akcent 2 3 7 6 3 2" xfId="3714"/>
    <cellStyle name="20% - akcent 2 3 7 6 4" xfId="3715"/>
    <cellStyle name="20% - akcent 2 3 7 7" xfId="3716"/>
    <cellStyle name="20% - akcent 2 3 7 7 2" xfId="3717"/>
    <cellStyle name="20% - akcent 2 3 7 8" xfId="3718"/>
    <cellStyle name="20% - akcent 2 3 7 8 2" xfId="3719"/>
    <cellStyle name="20% - akcent 2 3 7 9" xfId="3720"/>
    <cellStyle name="20% - akcent 2 3 8" xfId="3721"/>
    <cellStyle name="20% - akcent 2 3 8 2" xfId="3722"/>
    <cellStyle name="20% - akcent 2 3 8 2 2" xfId="3723"/>
    <cellStyle name="20% - akcent 2 3 8 2 2 2" xfId="3724"/>
    <cellStyle name="20% - akcent 2 3 8 2 2 2 2" xfId="3725"/>
    <cellStyle name="20% - akcent 2 3 8 2 2 2 2 2" xfId="3726"/>
    <cellStyle name="20% - akcent 2 3 8 2 2 2 3" xfId="3727"/>
    <cellStyle name="20% - akcent 2 3 8 2 2 2 3 2" xfId="3728"/>
    <cellStyle name="20% - akcent 2 3 8 2 2 2 4" xfId="3729"/>
    <cellStyle name="20% - akcent 2 3 8 2 2 3" xfId="3730"/>
    <cellStyle name="20% - akcent 2 3 8 2 2 3 2" xfId="3731"/>
    <cellStyle name="20% - akcent 2 3 8 2 2 4" xfId="3732"/>
    <cellStyle name="20% - akcent 2 3 8 2 2 4 2" xfId="3733"/>
    <cellStyle name="20% - akcent 2 3 8 2 2 5" xfId="3734"/>
    <cellStyle name="20% - akcent 2 3 8 2 3" xfId="3735"/>
    <cellStyle name="20% - akcent 2 3 8 2 3 2" xfId="3736"/>
    <cellStyle name="20% - akcent 2 3 8 2 3 2 2" xfId="3737"/>
    <cellStyle name="20% - akcent 2 3 8 2 3 2 2 2" xfId="3738"/>
    <cellStyle name="20% - akcent 2 3 8 2 3 2 3" xfId="3739"/>
    <cellStyle name="20% - akcent 2 3 8 2 3 2 3 2" xfId="3740"/>
    <cellStyle name="20% - akcent 2 3 8 2 3 2 4" xfId="3741"/>
    <cellStyle name="20% - akcent 2 3 8 2 3 3" xfId="3742"/>
    <cellStyle name="20% - akcent 2 3 8 2 3 3 2" xfId="3743"/>
    <cellStyle name="20% - akcent 2 3 8 2 3 4" xfId="3744"/>
    <cellStyle name="20% - akcent 2 3 8 2 3 4 2" xfId="3745"/>
    <cellStyle name="20% - akcent 2 3 8 2 3 5" xfId="3746"/>
    <cellStyle name="20% - akcent 2 3 8 2 4" xfId="3747"/>
    <cellStyle name="20% - akcent 2 3 8 2 4 2" xfId="3748"/>
    <cellStyle name="20% - akcent 2 3 8 2 4 2 2" xfId="3749"/>
    <cellStyle name="20% - akcent 2 3 8 2 4 2 2 2" xfId="3750"/>
    <cellStyle name="20% - akcent 2 3 8 2 4 2 3" xfId="3751"/>
    <cellStyle name="20% - akcent 2 3 8 2 4 2 3 2" xfId="3752"/>
    <cellStyle name="20% - akcent 2 3 8 2 4 2 4" xfId="3753"/>
    <cellStyle name="20% - akcent 2 3 8 2 4 3" xfId="3754"/>
    <cellStyle name="20% - akcent 2 3 8 2 4 3 2" xfId="3755"/>
    <cellStyle name="20% - akcent 2 3 8 2 4 4" xfId="3756"/>
    <cellStyle name="20% - akcent 2 3 8 2 4 4 2" xfId="3757"/>
    <cellStyle name="20% - akcent 2 3 8 2 4 5" xfId="3758"/>
    <cellStyle name="20% - akcent 2 3 8 2 5" xfId="3759"/>
    <cellStyle name="20% - akcent 2 3 8 2 5 2" xfId="3760"/>
    <cellStyle name="20% - akcent 2 3 8 2 5 2 2" xfId="3761"/>
    <cellStyle name="20% - akcent 2 3 8 2 5 3" xfId="3762"/>
    <cellStyle name="20% - akcent 2 3 8 2 5 3 2" xfId="3763"/>
    <cellStyle name="20% - akcent 2 3 8 2 5 4" xfId="3764"/>
    <cellStyle name="20% - akcent 2 3 8 2 6" xfId="3765"/>
    <cellStyle name="20% - akcent 2 3 8 2 6 2" xfId="3766"/>
    <cellStyle name="20% - akcent 2 3 8 2 7" xfId="3767"/>
    <cellStyle name="20% - akcent 2 3 8 2 7 2" xfId="3768"/>
    <cellStyle name="20% - akcent 2 3 8 2 8" xfId="3769"/>
    <cellStyle name="20% - akcent 2 3 8 3" xfId="3770"/>
    <cellStyle name="20% - akcent 2 3 8 3 2" xfId="3771"/>
    <cellStyle name="20% - akcent 2 3 8 3 2 2" xfId="3772"/>
    <cellStyle name="20% - akcent 2 3 8 3 2 2 2" xfId="3773"/>
    <cellStyle name="20% - akcent 2 3 8 3 2 3" xfId="3774"/>
    <cellStyle name="20% - akcent 2 3 8 3 2 3 2" xfId="3775"/>
    <cellStyle name="20% - akcent 2 3 8 3 2 4" xfId="3776"/>
    <cellStyle name="20% - akcent 2 3 8 3 3" xfId="3777"/>
    <cellStyle name="20% - akcent 2 3 8 3 3 2" xfId="3778"/>
    <cellStyle name="20% - akcent 2 3 8 3 4" xfId="3779"/>
    <cellStyle name="20% - akcent 2 3 8 3 4 2" xfId="3780"/>
    <cellStyle name="20% - akcent 2 3 8 3 5" xfId="3781"/>
    <cellStyle name="20% - akcent 2 3 8 4" xfId="3782"/>
    <cellStyle name="20% - akcent 2 3 8 4 2" xfId="3783"/>
    <cellStyle name="20% - akcent 2 3 8 4 2 2" xfId="3784"/>
    <cellStyle name="20% - akcent 2 3 8 4 2 2 2" xfId="3785"/>
    <cellStyle name="20% - akcent 2 3 8 4 2 3" xfId="3786"/>
    <cellStyle name="20% - akcent 2 3 8 4 2 3 2" xfId="3787"/>
    <cellStyle name="20% - akcent 2 3 8 4 2 4" xfId="3788"/>
    <cellStyle name="20% - akcent 2 3 8 4 3" xfId="3789"/>
    <cellStyle name="20% - akcent 2 3 8 4 3 2" xfId="3790"/>
    <cellStyle name="20% - akcent 2 3 8 4 4" xfId="3791"/>
    <cellStyle name="20% - akcent 2 3 8 4 4 2" xfId="3792"/>
    <cellStyle name="20% - akcent 2 3 8 4 5" xfId="3793"/>
    <cellStyle name="20% - akcent 2 3 8 5" xfId="3794"/>
    <cellStyle name="20% - akcent 2 3 8 5 2" xfId="3795"/>
    <cellStyle name="20% - akcent 2 3 8 5 2 2" xfId="3796"/>
    <cellStyle name="20% - akcent 2 3 8 5 2 2 2" xfId="3797"/>
    <cellStyle name="20% - akcent 2 3 8 5 2 3" xfId="3798"/>
    <cellStyle name="20% - akcent 2 3 8 5 2 3 2" xfId="3799"/>
    <cellStyle name="20% - akcent 2 3 8 5 2 4" xfId="3800"/>
    <cellStyle name="20% - akcent 2 3 8 5 3" xfId="3801"/>
    <cellStyle name="20% - akcent 2 3 8 5 3 2" xfId="3802"/>
    <cellStyle name="20% - akcent 2 3 8 5 4" xfId="3803"/>
    <cellStyle name="20% - akcent 2 3 8 5 4 2" xfId="3804"/>
    <cellStyle name="20% - akcent 2 3 8 5 5" xfId="3805"/>
    <cellStyle name="20% - akcent 2 3 8 6" xfId="3806"/>
    <cellStyle name="20% - akcent 2 3 8 6 2" xfId="3807"/>
    <cellStyle name="20% - akcent 2 3 8 6 2 2" xfId="3808"/>
    <cellStyle name="20% - akcent 2 3 8 6 3" xfId="3809"/>
    <cellStyle name="20% - akcent 2 3 8 6 3 2" xfId="3810"/>
    <cellStyle name="20% - akcent 2 3 8 6 4" xfId="3811"/>
    <cellStyle name="20% - akcent 2 3 8 7" xfId="3812"/>
    <cellStyle name="20% - akcent 2 3 8 7 2" xfId="3813"/>
    <cellStyle name="20% - akcent 2 3 8 8" xfId="3814"/>
    <cellStyle name="20% - akcent 2 3 8 8 2" xfId="3815"/>
    <cellStyle name="20% - akcent 2 3 8 9" xfId="3816"/>
    <cellStyle name="20% - akcent 2 3 9" xfId="3817"/>
    <cellStyle name="20% - akcent 2 3 9 2" xfId="3818"/>
    <cellStyle name="20% - akcent 2 3 9 2 2" xfId="3819"/>
    <cellStyle name="20% - akcent 2 3 9 2 2 2" xfId="3820"/>
    <cellStyle name="20% - akcent 2 3 9 2 2 2 2" xfId="3821"/>
    <cellStyle name="20% - akcent 2 3 9 2 2 3" xfId="3822"/>
    <cellStyle name="20% - akcent 2 3 9 2 2 3 2" xfId="3823"/>
    <cellStyle name="20% - akcent 2 3 9 2 2 4" xfId="3824"/>
    <cellStyle name="20% - akcent 2 3 9 2 3" xfId="3825"/>
    <cellStyle name="20% - akcent 2 3 9 2 3 2" xfId="3826"/>
    <cellStyle name="20% - akcent 2 3 9 2 4" xfId="3827"/>
    <cellStyle name="20% - akcent 2 3 9 2 4 2" xfId="3828"/>
    <cellStyle name="20% - akcent 2 3 9 2 5" xfId="3829"/>
    <cellStyle name="20% - akcent 2 3 9 3" xfId="3830"/>
    <cellStyle name="20% - akcent 2 3 9 3 2" xfId="3831"/>
    <cellStyle name="20% - akcent 2 3 9 3 2 2" xfId="3832"/>
    <cellStyle name="20% - akcent 2 3 9 3 2 2 2" xfId="3833"/>
    <cellStyle name="20% - akcent 2 3 9 3 2 3" xfId="3834"/>
    <cellStyle name="20% - akcent 2 3 9 3 2 3 2" xfId="3835"/>
    <cellStyle name="20% - akcent 2 3 9 3 2 4" xfId="3836"/>
    <cellStyle name="20% - akcent 2 3 9 3 3" xfId="3837"/>
    <cellStyle name="20% - akcent 2 3 9 3 3 2" xfId="3838"/>
    <cellStyle name="20% - akcent 2 3 9 3 4" xfId="3839"/>
    <cellStyle name="20% - akcent 2 3 9 3 4 2" xfId="3840"/>
    <cellStyle name="20% - akcent 2 3 9 3 5" xfId="3841"/>
    <cellStyle name="20% - akcent 2 3 9 4" xfId="3842"/>
    <cellStyle name="20% - akcent 2 3 9 4 2" xfId="3843"/>
    <cellStyle name="20% - akcent 2 3 9 4 2 2" xfId="3844"/>
    <cellStyle name="20% - akcent 2 3 9 4 2 2 2" xfId="3845"/>
    <cellStyle name="20% - akcent 2 3 9 4 2 3" xfId="3846"/>
    <cellStyle name="20% - akcent 2 3 9 4 2 3 2" xfId="3847"/>
    <cellStyle name="20% - akcent 2 3 9 4 2 4" xfId="3848"/>
    <cellStyle name="20% - akcent 2 3 9 4 3" xfId="3849"/>
    <cellStyle name="20% - akcent 2 3 9 4 3 2" xfId="3850"/>
    <cellStyle name="20% - akcent 2 3 9 4 4" xfId="3851"/>
    <cellStyle name="20% - akcent 2 3 9 4 4 2" xfId="3852"/>
    <cellStyle name="20% - akcent 2 3 9 4 5" xfId="3853"/>
    <cellStyle name="20% - akcent 2 3 9 5" xfId="3854"/>
    <cellStyle name="20% - akcent 2 3 9 5 2" xfId="3855"/>
    <cellStyle name="20% - akcent 2 3 9 5 2 2" xfId="3856"/>
    <cellStyle name="20% - akcent 2 3 9 5 3" xfId="3857"/>
    <cellStyle name="20% - akcent 2 3 9 5 3 2" xfId="3858"/>
    <cellStyle name="20% - akcent 2 3 9 5 4" xfId="3859"/>
    <cellStyle name="20% - akcent 2 3 9 6" xfId="3860"/>
    <cellStyle name="20% - akcent 2 3 9 6 2" xfId="3861"/>
    <cellStyle name="20% - akcent 2 3 9 7" xfId="3862"/>
    <cellStyle name="20% - akcent 2 3 9 7 2" xfId="3863"/>
    <cellStyle name="20% - akcent 2 3 9 8" xfId="3864"/>
    <cellStyle name="20% - akcent 2 4" xfId="3865"/>
    <cellStyle name="20% - akcent 2 5" xfId="3866"/>
    <cellStyle name="20% - akcent 2 6" xfId="3867"/>
    <cellStyle name="20% - akcent 3 2" xfId="3868"/>
    <cellStyle name="20% - akcent 3 2 2" xfId="3869"/>
    <cellStyle name="20% - akcent 3 2 3" xfId="3870"/>
    <cellStyle name="20% - akcent 3 3" xfId="3871"/>
    <cellStyle name="20% - akcent 3 3 10" xfId="3872"/>
    <cellStyle name="20% - akcent 3 3 10 2" xfId="3873"/>
    <cellStyle name="20% - akcent 3 3 10 2 2" xfId="3874"/>
    <cellStyle name="20% - akcent 3 3 10 2 2 2" xfId="3875"/>
    <cellStyle name="20% - akcent 3 3 10 2 2 2 2" xfId="3876"/>
    <cellStyle name="20% - akcent 3 3 10 2 2 3" xfId="3877"/>
    <cellStyle name="20% - akcent 3 3 10 2 2 3 2" xfId="3878"/>
    <cellStyle name="20% - akcent 3 3 10 2 2 4" xfId="3879"/>
    <cellStyle name="20% - akcent 3 3 10 2 3" xfId="3880"/>
    <cellStyle name="20% - akcent 3 3 10 2 3 2" xfId="3881"/>
    <cellStyle name="20% - akcent 3 3 10 2 4" xfId="3882"/>
    <cellStyle name="20% - akcent 3 3 10 2 4 2" xfId="3883"/>
    <cellStyle name="20% - akcent 3 3 10 2 5" xfId="3884"/>
    <cellStyle name="20% - akcent 3 3 10 3" xfId="3885"/>
    <cellStyle name="20% - akcent 3 3 10 3 2" xfId="3886"/>
    <cellStyle name="20% - akcent 3 3 10 3 2 2" xfId="3887"/>
    <cellStyle name="20% - akcent 3 3 10 3 3" xfId="3888"/>
    <cellStyle name="20% - akcent 3 3 10 3 3 2" xfId="3889"/>
    <cellStyle name="20% - akcent 3 3 10 3 4" xfId="3890"/>
    <cellStyle name="20% - akcent 3 3 10 4" xfId="3891"/>
    <cellStyle name="20% - akcent 3 3 10 4 2" xfId="3892"/>
    <cellStyle name="20% - akcent 3 3 10 5" xfId="3893"/>
    <cellStyle name="20% - akcent 3 3 10 5 2" xfId="3894"/>
    <cellStyle name="20% - akcent 3 3 10 6" xfId="3895"/>
    <cellStyle name="20% - akcent 3 3 11" xfId="3896"/>
    <cellStyle name="20% - akcent 3 3 11 2" xfId="3897"/>
    <cellStyle name="20% - akcent 3 3 11 2 2" xfId="3898"/>
    <cellStyle name="20% - akcent 3 3 11 2 2 2" xfId="3899"/>
    <cellStyle name="20% - akcent 3 3 11 2 3" xfId="3900"/>
    <cellStyle name="20% - akcent 3 3 11 2 3 2" xfId="3901"/>
    <cellStyle name="20% - akcent 3 3 11 2 4" xfId="3902"/>
    <cellStyle name="20% - akcent 3 3 11 3" xfId="3903"/>
    <cellStyle name="20% - akcent 3 3 11 3 2" xfId="3904"/>
    <cellStyle name="20% - akcent 3 3 11 4" xfId="3905"/>
    <cellStyle name="20% - akcent 3 3 11 4 2" xfId="3906"/>
    <cellStyle name="20% - akcent 3 3 11 5" xfId="3907"/>
    <cellStyle name="20% - akcent 3 3 12" xfId="3908"/>
    <cellStyle name="20% - akcent 3 3 12 2" xfId="3909"/>
    <cellStyle name="20% - akcent 3 3 12 2 2" xfId="3910"/>
    <cellStyle name="20% - akcent 3 3 12 2 2 2" xfId="3911"/>
    <cellStyle name="20% - akcent 3 3 12 2 3" xfId="3912"/>
    <cellStyle name="20% - akcent 3 3 12 2 3 2" xfId="3913"/>
    <cellStyle name="20% - akcent 3 3 12 2 4" xfId="3914"/>
    <cellStyle name="20% - akcent 3 3 12 3" xfId="3915"/>
    <cellStyle name="20% - akcent 3 3 12 3 2" xfId="3916"/>
    <cellStyle name="20% - akcent 3 3 12 4" xfId="3917"/>
    <cellStyle name="20% - akcent 3 3 12 4 2" xfId="3918"/>
    <cellStyle name="20% - akcent 3 3 12 5" xfId="3919"/>
    <cellStyle name="20% - akcent 3 3 13" xfId="3920"/>
    <cellStyle name="20% - akcent 3 3 13 2" xfId="3921"/>
    <cellStyle name="20% - akcent 3 3 13 2 2" xfId="3922"/>
    <cellStyle name="20% - akcent 3 3 13 2 2 2" xfId="3923"/>
    <cellStyle name="20% - akcent 3 3 13 2 3" xfId="3924"/>
    <cellStyle name="20% - akcent 3 3 13 2 3 2" xfId="3925"/>
    <cellStyle name="20% - akcent 3 3 13 2 4" xfId="3926"/>
    <cellStyle name="20% - akcent 3 3 13 3" xfId="3927"/>
    <cellStyle name="20% - akcent 3 3 13 3 2" xfId="3928"/>
    <cellStyle name="20% - akcent 3 3 13 4" xfId="3929"/>
    <cellStyle name="20% - akcent 3 3 13 4 2" xfId="3930"/>
    <cellStyle name="20% - akcent 3 3 13 5" xfId="3931"/>
    <cellStyle name="20% - akcent 3 3 14" xfId="3932"/>
    <cellStyle name="20% - akcent 3 3 14 2" xfId="3933"/>
    <cellStyle name="20% - akcent 3 3 14 2 2" xfId="3934"/>
    <cellStyle name="20% - akcent 3 3 14 3" xfId="3935"/>
    <cellStyle name="20% - akcent 3 3 14 3 2" xfId="3936"/>
    <cellStyle name="20% - akcent 3 3 14 4" xfId="3937"/>
    <cellStyle name="20% - akcent 3 3 15" xfId="3938"/>
    <cellStyle name="20% - akcent 3 3 15 2" xfId="3939"/>
    <cellStyle name="20% - akcent 3 3 15 2 2" xfId="3940"/>
    <cellStyle name="20% - akcent 3 3 15 3" xfId="3941"/>
    <cellStyle name="20% - akcent 3 3 15 3 2" xfId="3942"/>
    <cellStyle name="20% - akcent 3 3 15 4" xfId="3943"/>
    <cellStyle name="20% - akcent 3 3 16" xfId="3944"/>
    <cellStyle name="20% - akcent 3 3 16 2" xfId="3945"/>
    <cellStyle name="20% - akcent 3 3 17" xfId="3946"/>
    <cellStyle name="20% - akcent 3 3 17 2" xfId="3947"/>
    <cellStyle name="20% - akcent 3 3 18" xfId="3948"/>
    <cellStyle name="20% - akcent 3 3 18 2" xfId="3949"/>
    <cellStyle name="20% - akcent 3 3 19" xfId="3950"/>
    <cellStyle name="20% - akcent 3 3 2" xfId="3951"/>
    <cellStyle name="20% - akcent 3 3 2 10" xfId="3952"/>
    <cellStyle name="20% - akcent 3 3 2 10 2" xfId="3953"/>
    <cellStyle name="20% - akcent 3 3 2 10 2 2" xfId="3954"/>
    <cellStyle name="20% - akcent 3 3 2 10 2 2 2" xfId="3955"/>
    <cellStyle name="20% - akcent 3 3 2 10 2 3" xfId="3956"/>
    <cellStyle name="20% - akcent 3 3 2 10 2 3 2" xfId="3957"/>
    <cellStyle name="20% - akcent 3 3 2 10 2 4" xfId="3958"/>
    <cellStyle name="20% - akcent 3 3 2 10 3" xfId="3959"/>
    <cellStyle name="20% - akcent 3 3 2 10 3 2" xfId="3960"/>
    <cellStyle name="20% - akcent 3 3 2 10 4" xfId="3961"/>
    <cellStyle name="20% - akcent 3 3 2 10 4 2" xfId="3962"/>
    <cellStyle name="20% - akcent 3 3 2 10 5" xfId="3963"/>
    <cellStyle name="20% - akcent 3 3 2 11" xfId="3964"/>
    <cellStyle name="20% - akcent 3 3 2 11 2" xfId="3965"/>
    <cellStyle name="20% - akcent 3 3 2 11 2 2" xfId="3966"/>
    <cellStyle name="20% - akcent 3 3 2 11 3" xfId="3967"/>
    <cellStyle name="20% - akcent 3 3 2 11 3 2" xfId="3968"/>
    <cellStyle name="20% - akcent 3 3 2 11 4" xfId="3969"/>
    <cellStyle name="20% - akcent 3 3 2 12" xfId="3970"/>
    <cellStyle name="20% - akcent 3 3 2 12 2" xfId="3971"/>
    <cellStyle name="20% - akcent 3 3 2 12 2 2" xfId="3972"/>
    <cellStyle name="20% - akcent 3 3 2 12 3" xfId="3973"/>
    <cellStyle name="20% - akcent 3 3 2 12 3 2" xfId="3974"/>
    <cellStyle name="20% - akcent 3 3 2 12 4" xfId="3975"/>
    <cellStyle name="20% - akcent 3 3 2 13" xfId="3976"/>
    <cellStyle name="20% - akcent 3 3 2 13 2" xfId="3977"/>
    <cellStyle name="20% - akcent 3 3 2 14" xfId="3978"/>
    <cellStyle name="20% - akcent 3 3 2 14 2" xfId="3979"/>
    <cellStyle name="20% - akcent 3 3 2 15" xfId="3980"/>
    <cellStyle name="20% - akcent 3 3 2 15 2" xfId="3981"/>
    <cellStyle name="20% - akcent 3 3 2 16" xfId="3982"/>
    <cellStyle name="20% - akcent 3 3 2 2" xfId="3983"/>
    <cellStyle name="20% - akcent 3 3 2 2 10" xfId="3984"/>
    <cellStyle name="20% - akcent 3 3 2 2 10 2" xfId="3985"/>
    <cellStyle name="20% - akcent 3 3 2 2 11" xfId="3986"/>
    <cellStyle name="20% - akcent 3 3 2 2 11 2" xfId="3987"/>
    <cellStyle name="20% - akcent 3 3 2 2 12" xfId="3988"/>
    <cellStyle name="20% - akcent 3 3 2 2 2" xfId="3989"/>
    <cellStyle name="20% - akcent 3 3 2 2 2 10" xfId="3990"/>
    <cellStyle name="20% - akcent 3 3 2 2 2 2" xfId="3991"/>
    <cellStyle name="20% - akcent 3 3 2 2 2 2 2" xfId="3992"/>
    <cellStyle name="20% - akcent 3 3 2 2 2 2 2 2" xfId="3993"/>
    <cellStyle name="20% - akcent 3 3 2 2 2 2 2 2 2" xfId="3994"/>
    <cellStyle name="20% - akcent 3 3 2 2 2 2 2 2 2 2" xfId="3995"/>
    <cellStyle name="20% - akcent 3 3 2 2 2 2 2 2 3" xfId="3996"/>
    <cellStyle name="20% - akcent 3 3 2 2 2 2 2 2 3 2" xfId="3997"/>
    <cellStyle name="20% - akcent 3 3 2 2 2 2 2 2 4" xfId="3998"/>
    <cellStyle name="20% - akcent 3 3 2 2 2 2 2 3" xfId="3999"/>
    <cellStyle name="20% - akcent 3 3 2 2 2 2 2 3 2" xfId="4000"/>
    <cellStyle name="20% - akcent 3 3 2 2 2 2 2 4" xfId="4001"/>
    <cellStyle name="20% - akcent 3 3 2 2 2 2 2 4 2" xfId="4002"/>
    <cellStyle name="20% - akcent 3 3 2 2 2 2 2 5" xfId="4003"/>
    <cellStyle name="20% - akcent 3 3 2 2 2 2 3" xfId="4004"/>
    <cellStyle name="20% - akcent 3 3 2 2 2 2 3 2" xfId="4005"/>
    <cellStyle name="20% - akcent 3 3 2 2 2 2 3 2 2" xfId="4006"/>
    <cellStyle name="20% - akcent 3 3 2 2 2 2 3 2 2 2" xfId="4007"/>
    <cellStyle name="20% - akcent 3 3 2 2 2 2 3 2 3" xfId="4008"/>
    <cellStyle name="20% - akcent 3 3 2 2 2 2 3 2 3 2" xfId="4009"/>
    <cellStyle name="20% - akcent 3 3 2 2 2 2 3 2 4" xfId="4010"/>
    <cellStyle name="20% - akcent 3 3 2 2 2 2 3 3" xfId="4011"/>
    <cellStyle name="20% - akcent 3 3 2 2 2 2 3 3 2" xfId="4012"/>
    <cellStyle name="20% - akcent 3 3 2 2 2 2 3 4" xfId="4013"/>
    <cellStyle name="20% - akcent 3 3 2 2 2 2 3 4 2" xfId="4014"/>
    <cellStyle name="20% - akcent 3 3 2 2 2 2 3 5" xfId="4015"/>
    <cellStyle name="20% - akcent 3 3 2 2 2 2 4" xfId="4016"/>
    <cellStyle name="20% - akcent 3 3 2 2 2 2 4 2" xfId="4017"/>
    <cellStyle name="20% - akcent 3 3 2 2 2 2 4 2 2" xfId="4018"/>
    <cellStyle name="20% - akcent 3 3 2 2 2 2 4 2 2 2" xfId="4019"/>
    <cellStyle name="20% - akcent 3 3 2 2 2 2 4 2 3" xfId="4020"/>
    <cellStyle name="20% - akcent 3 3 2 2 2 2 4 2 3 2" xfId="4021"/>
    <cellStyle name="20% - akcent 3 3 2 2 2 2 4 2 4" xfId="4022"/>
    <cellStyle name="20% - akcent 3 3 2 2 2 2 4 3" xfId="4023"/>
    <cellStyle name="20% - akcent 3 3 2 2 2 2 4 3 2" xfId="4024"/>
    <cellStyle name="20% - akcent 3 3 2 2 2 2 4 4" xfId="4025"/>
    <cellStyle name="20% - akcent 3 3 2 2 2 2 4 4 2" xfId="4026"/>
    <cellStyle name="20% - akcent 3 3 2 2 2 2 4 5" xfId="4027"/>
    <cellStyle name="20% - akcent 3 3 2 2 2 2 5" xfId="4028"/>
    <cellStyle name="20% - akcent 3 3 2 2 2 2 5 2" xfId="4029"/>
    <cellStyle name="20% - akcent 3 3 2 2 2 2 5 2 2" xfId="4030"/>
    <cellStyle name="20% - akcent 3 3 2 2 2 2 5 3" xfId="4031"/>
    <cellStyle name="20% - akcent 3 3 2 2 2 2 5 3 2" xfId="4032"/>
    <cellStyle name="20% - akcent 3 3 2 2 2 2 5 4" xfId="4033"/>
    <cellStyle name="20% - akcent 3 3 2 2 2 2 6" xfId="4034"/>
    <cellStyle name="20% - akcent 3 3 2 2 2 2 6 2" xfId="4035"/>
    <cellStyle name="20% - akcent 3 3 2 2 2 2 7" xfId="4036"/>
    <cellStyle name="20% - akcent 3 3 2 2 2 2 7 2" xfId="4037"/>
    <cellStyle name="20% - akcent 3 3 2 2 2 2 8" xfId="4038"/>
    <cellStyle name="20% - akcent 3 3 2 2 2 3" xfId="4039"/>
    <cellStyle name="20% - akcent 3 3 2 2 2 3 2" xfId="4040"/>
    <cellStyle name="20% - akcent 3 3 2 2 2 3 2 2" xfId="4041"/>
    <cellStyle name="20% - akcent 3 3 2 2 2 3 2 2 2" xfId="4042"/>
    <cellStyle name="20% - akcent 3 3 2 2 2 3 2 2 2 2" xfId="4043"/>
    <cellStyle name="20% - akcent 3 3 2 2 2 3 2 2 3" xfId="4044"/>
    <cellStyle name="20% - akcent 3 3 2 2 2 3 2 2 3 2" xfId="4045"/>
    <cellStyle name="20% - akcent 3 3 2 2 2 3 2 2 4" xfId="4046"/>
    <cellStyle name="20% - akcent 3 3 2 2 2 3 2 3" xfId="4047"/>
    <cellStyle name="20% - akcent 3 3 2 2 2 3 2 3 2" xfId="4048"/>
    <cellStyle name="20% - akcent 3 3 2 2 2 3 2 4" xfId="4049"/>
    <cellStyle name="20% - akcent 3 3 2 2 2 3 2 4 2" xfId="4050"/>
    <cellStyle name="20% - akcent 3 3 2 2 2 3 2 5" xfId="4051"/>
    <cellStyle name="20% - akcent 3 3 2 2 2 3 3" xfId="4052"/>
    <cellStyle name="20% - akcent 3 3 2 2 2 3 3 2" xfId="4053"/>
    <cellStyle name="20% - akcent 3 3 2 2 2 3 3 2 2" xfId="4054"/>
    <cellStyle name="20% - akcent 3 3 2 2 2 3 3 2 2 2" xfId="4055"/>
    <cellStyle name="20% - akcent 3 3 2 2 2 3 3 2 3" xfId="4056"/>
    <cellStyle name="20% - akcent 3 3 2 2 2 3 3 2 3 2" xfId="4057"/>
    <cellStyle name="20% - akcent 3 3 2 2 2 3 3 2 4" xfId="4058"/>
    <cellStyle name="20% - akcent 3 3 2 2 2 3 3 3" xfId="4059"/>
    <cellStyle name="20% - akcent 3 3 2 2 2 3 3 3 2" xfId="4060"/>
    <cellStyle name="20% - akcent 3 3 2 2 2 3 3 4" xfId="4061"/>
    <cellStyle name="20% - akcent 3 3 2 2 2 3 3 4 2" xfId="4062"/>
    <cellStyle name="20% - akcent 3 3 2 2 2 3 3 5" xfId="4063"/>
    <cellStyle name="20% - akcent 3 3 2 2 2 3 4" xfId="4064"/>
    <cellStyle name="20% - akcent 3 3 2 2 2 3 4 2" xfId="4065"/>
    <cellStyle name="20% - akcent 3 3 2 2 2 3 4 2 2" xfId="4066"/>
    <cellStyle name="20% - akcent 3 3 2 2 2 3 4 2 2 2" xfId="4067"/>
    <cellStyle name="20% - akcent 3 3 2 2 2 3 4 2 3" xfId="4068"/>
    <cellStyle name="20% - akcent 3 3 2 2 2 3 4 2 3 2" xfId="4069"/>
    <cellStyle name="20% - akcent 3 3 2 2 2 3 4 2 4" xfId="4070"/>
    <cellStyle name="20% - akcent 3 3 2 2 2 3 4 3" xfId="4071"/>
    <cellStyle name="20% - akcent 3 3 2 2 2 3 4 3 2" xfId="4072"/>
    <cellStyle name="20% - akcent 3 3 2 2 2 3 4 4" xfId="4073"/>
    <cellStyle name="20% - akcent 3 3 2 2 2 3 4 4 2" xfId="4074"/>
    <cellStyle name="20% - akcent 3 3 2 2 2 3 4 5" xfId="4075"/>
    <cellStyle name="20% - akcent 3 3 2 2 2 3 5" xfId="4076"/>
    <cellStyle name="20% - akcent 3 3 2 2 2 3 5 2" xfId="4077"/>
    <cellStyle name="20% - akcent 3 3 2 2 2 3 5 2 2" xfId="4078"/>
    <cellStyle name="20% - akcent 3 3 2 2 2 3 5 3" xfId="4079"/>
    <cellStyle name="20% - akcent 3 3 2 2 2 3 5 3 2" xfId="4080"/>
    <cellStyle name="20% - akcent 3 3 2 2 2 3 5 4" xfId="4081"/>
    <cellStyle name="20% - akcent 3 3 2 2 2 3 6" xfId="4082"/>
    <cellStyle name="20% - akcent 3 3 2 2 2 3 6 2" xfId="4083"/>
    <cellStyle name="20% - akcent 3 3 2 2 2 3 7" xfId="4084"/>
    <cellStyle name="20% - akcent 3 3 2 2 2 3 7 2" xfId="4085"/>
    <cellStyle name="20% - akcent 3 3 2 2 2 3 8" xfId="4086"/>
    <cellStyle name="20% - akcent 3 3 2 2 2 4" xfId="4087"/>
    <cellStyle name="20% - akcent 3 3 2 2 2 4 2" xfId="4088"/>
    <cellStyle name="20% - akcent 3 3 2 2 2 4 2 2" xfId="4089"/>
    <cellStyle name="20% - akcent 3 3 2 2 2 4 2 2 2" xfId="4090"/>
    <cellStyle name="20% - akcent 3 3 2 2 2 4 2 3" xfId="4091"/>
    <cellStyle name="20% - akcent 3 3 2 2 2 4 2 3 2" xfId="4092"/>
    <cellStyle name="20% - akcent 3 3 2 2 2 4 2 4" xfId="4093"/>
    <cellStyle name="20% - akcent 3 3 2 2 2 4 3" xfId="4094"/>
    <cellStyle name="20% - akcent 3 3 2 2 2 4 3 2" xfId="4095"/>
    <cellStyle name="20% - akcent 3 3 2 2 2 4 4" xfId="4096"/>
    <cellStyle name="20% - akcent 3 3 2 2 2 4 4 2" xfId="4097"/>
    <cellStyle name="20% - akcent 3 3 2 2 2 4 5" xfId="4098"/>
    <cellStyle name="20% - akcent 3 3 2 2 2 5" xfId="4099"/>
    <cellStyle name="20% - akcent 3 3 2 2 2 5 2" xfId="4100"/>
    <cellStyle name="20% - akcent 3 3 2 2 2 5 2 2" xfId="4101"/>
    <cellStyle name="20% - akcent 3 3 2 2 2 5 2 2 2" xfId="4102"/>
    <cellStyle name="20% - akcent 3 3 2 2 2 5 2 3" xfId="4103"/>
    <cellStyle name="20% - akcent 3 3 2 2 2 5 2 3 2" xfId="4104"/>
    <cellStyle name="20% - akcent 3 3 2 2 2 5 2 4" xfId="4105"/>
    <cellStyle name="20% - akcent 3 3 2 2 2 5 3" xfId="4106"/>
    <cellStyle name="20% - akcent 3 3 2 2 2 5 3 2" xfId="4107"/>
    <cellStyle name="20% - akcent 3 3 2 2 2 5 4" xfId="4108"/>
    <cellStyle name="20% - akcent 3 3 2 2 2 5 4 2" xfId="4109"/>
    <cellStyle name="20% - akcent 3 3 2 2 2 5 5" xfId="4110"/>
    <cellStyle name="20% - akcent 3 3 2 2 2 6" xfId="4111"/>
    <cellStyle name="20% - akcent 3 3 2 2 2 6 2" xfId="4112"/>
    <cellStyle name="20% - akcent 3 3 2 2 2 6 2 2" xfId="4113"/>
    <cellStyle name="20% - akcent 3 3 2 2 2 6 2 2 2" xfId="4114"/>
    <cellStyle name="20% - akcent 3 3 2 2 2 6 2 3" xfId="4115"/>
    <cellStyle name="20% - akcent 3 3 2 2 2 6 2 3 2" xfId="4116"/>
    <cellStyle name="20% - akcent 3 3 2 2 2 6 2 4" xfId="4117"/>
    <cellStyle name="20% - akcent 3 3 2 2 2 6 3" xfId="4118"/>
    <cellStyle name="20% - akcent 3 3 2 2 2 6 3 2" xfId="4119"/>
    <cellStyle name="20% - akcent 3 3 2 2 2 6 4" xfId="4120"/>
    <cellStyle name="20% - akcent 3 3 2 2 2 6 4 2" xfId="4121"/>
    <cellStyle name="20% - akcent 3 3 2 2 2 6 5" xfId="4122"/>
    <cellStyle name="20% - akcent 3 3 2 2 2 7" xfId="4123"/>
    <cellStyle name="20% - akcent 3 3 2 2 2 7 2" xfId="4124"/>
    <cellStyle name="20% - akcent 3 3 2 2 2 7 2 2" xfId="4125"/>
    <cellStyle name="20% - akcent 3 3 2 2 2 7 3" xfId="4126"/>
    <cellStyle name="20% - akcent 3 3 2 2 2 7 3 2" xfId="4127"/>
    <cellStyle name="20% - akcent 3 3 2 2 2 7 4" xfId="4128"/>
    <cellStyle name="20% - akcent 3 3 2 2 2 8" xfId="4129"/>
    <cellStyle name="20% - akcent 3 3 2 2 2 8 2" xfId="4130"/>
    <cellStyle name="20% - akcent 3 3 2 2 2 9" xfId="4131"/>
    <cellStyle name="20% - akcent 3 3 2 2 2 9 2" xfId="4132"/>
    <cellStyle name="20% - akcent 3 3 2 2 3" xfId="4133"/>
    <cellStyle name="20% - akcent 3 3 2 2 3 2" xfId="4134"/>
    <cellStyle name="20% - akcent 3 3 2 2 3 2 2" xfId="4135"/>
    <cellStyle name="20% - akcent 3 3 2 2 3 2 2 2" xfId="4136"/>
    <cellStyle name="20% - akcent 3 3 2 2 3 2 2 2 2" xfId="4137"/>
    <cellStyle name="20% - akcent 3 3 2 2 3 2 2 3" xfId="4138"/>
    <cellStyle name="20% - akcent 3 3 2 2 3 2 2 3 2" xfId="4139"/>
    <cellStyle name="20% - akcent 3 3 2 2 3 2 2 4" xfId="4140"/>
    <cellStyle name="20% - akcent 3 3 2 2 3 2 3" xfId="4141"/>
    <cellStyle name="20% - akcent 3 3 2 2 3 2 3 2" xfId="4142"/>
    <cellStyle name="20% - akcent 3 3 2 2 3 2 4" xfId="4143"/>
    <cellStyle name="20% - akcent 3 3 2 2 3 2 4 2" xfId="4144"/>
    <cellStyle name="20% - akcent 3 3 2 2 3 2 5" xfId="4145"/>
    <cellStyle name="20% - akcent 3 3 2 2 3 3" xfId="4146"/>
    <cellStyle name="20% - akcent 3 3 2 2 3 3 2" xfId="4147"/>
    <cellStyle name="20% - akcent 3 3 2 2 3 3 2 2" xfId="4148"/>
    <cellStyle name="20% - akcent 3 3 2 2 3 3 2 2 2" xfId="4149"/>
    <cellStyle name="20% - akcent 3 3 2 2 3 3 2 3" xfId="4150"/>
    <cellStyle name="20% - akcent 3 3 2 2 3 3 2 3 2" xfId="4151"/>
    <cellStyle name="20% - akcent 3 3 2 2 3 3 2 4" xfId="4152"/>
    <cellStyle name="20% - akcent 3 3 2 2 3 3 3" xfId="4153"/>
    <cellStyle name="20% - akcent 3 3 2 2 3 3 3 2" xfId="4154"/>
    <cellStyle name="20% - akcent 3 3 2 2 3 3 4" xfId="4155"/>
    <cellStyle name="20% - akcent 3 3 2 2 3 3 4 2" xfId="4156"/>
    <cellStyle name="20% - akcent 3 3 2 2 3 3 5" xfId="4157"/>
    <cellStyle name="20% - akcent 3 3 2 2 3 4" xfId="4158"/>
    <cellStyle name="20% - akcent 3 3 2 2 3 4 2" xfId="4159"/>
    <cellStyle name="20% - akcent 3 3 2 2 3 4 2 2" xfId="4160"/>
    <cellStyle name="20% - akcent 3 3 2 2 3 4 2 2 2" xfId="4161"/>
    <cellStyle name="20% - akcent 3 3 2 2 3 4 2 3" xfId="4162"/>
    <cellStyle name="20% - akcent 3 3 2 2 3 4 2 3 2" xfId="4163"/>
    <cellStyle name="20% - akcent 3 3 2 2 3 4 2 4" xfId="4164"/>
    <cellStyle name="20% - akcent 3 3 2 2 3 4 3" xfId="4165"/>
    <cellStyle name="20% - akcent 3 3 2 2 3 4 3 2" xfId="4166"/>
    <cellStyle name="20% - akcent 3 3 2 2 3 4 4" xfId="4167"/>
    <cellStyle name="20% - akcent 3 3 2 2 3 4 4 2" xfId="4168"/>
    <cellStyle name="20% - akcent 3 3 2 2 3 4 5" xfId="4169"/>
    <cellStyle name="20% - akcent 3 3 2 2 3 5" xfId="4170"/>
    <cellStyle name="20% - akcent 3 3 2 2 3 5 2" xfId="4171"/>
    <cellStyle name="20% - akcent 3 3 2 2 3 5 2 2" xfId="4172"/>
    <cellStyle name="20% - akcent 3 3 2 2 3 5 3" xfId="4173"/>
    <cellStyle name="20% - akcent 3 3 2 2 3 5 3 2" xfId="4174"/>
    <cellStyle name="20% - akcent 3 3 2 2 3 5 4" xfId="4175"/>
    <cellStyle name="20% - akcent 3 3 2 2 3 6" xfId="4176"/>
    <cellStyle name="20% - akcent 3 3 2 2 3 6 2" xfId="4177"/>
    <cellStyle name="20% - akcent 3 3 2 2 3 7" xfId="4178"/>
    <cellStyle name="20% - akcent 3 3 2 2 3 7 2" xfId="4179"/>
    <cellStyle name="20% - akcent 3 3 2 2 3 8" xfId="4180"/>
    <cellStyle name="20% - akcent 3 3 2 2 4" xfId="4181"/>
    <cellStyle name="20% - akcent 3 3 2 2 4 2" xfId="4182"/>
    <cellStyle name="20% - akcent 3 3 2 2 4 2 2" xfId="4183"/>
    <cellStyle name="20% - akcent 3 3 2 2 4 2 2 2" xfId="4184"/>
    <cellStyle name="20% - akcent 3 3 2 2 4 2 2 2 2" xfId="4185"/>
    <cellStyle name="20% - akcent 3 3 2 2 4 2 2 3" xfId="4186"/>
    <cellStyle name="20% - akcent 3 3 2 2 4 2 2 3 2" xfId="4187"/>
    <cellStyle name="20% - akcent 3 3 2 2 4 2 2 4" xfId="4188"/>
    <cellStyle name="20% - akcent 3 3 2 2 4 2 3" xfId="4189"/>
    <cellStyle name="20% - akcent 3 3 2 2 4 2 3 2" xfId="4190"/>
    <cellStyle name="20% - akcent 3 3 2 2 4 2 4" xfId="4191"/>
    <cellStyle name="20% - akcent 3 3 2 2 4 2 4 2" xfId="4192"/>
    <cellStyle name="20% - akcent 3 3 2 2 4 2 5" xfId="4193"/>
    <cellStyle name="20% - akcent 3 3 2 2 4 3" xfId="4194"/>
    <cellStyle name="20% - akcent 3 3 2 2 4 3 2" xfId="4195"/>
    <cellStyle name="20% - akcent 3 3 2 2 4 3 2 2" xfId="4196"/>
    <cellStyle name="20% - akcent 3 3 2 2 4 3 2 2 2" xfId="4197"/>
    <cellStyle name="20% - akcent 3 3 2 2 4 3 2 3" xfId="4198"/>
    <cellStyle name="20% - akcent 3 3 2 2 4 3 2 3 2" xfId="4199"/>
    <cellStyle name="20% - akcent 3 3 2 2 4 3 2 4" xfId="4200"/>
    <cellStyle name="20% - akcent 3 3 2 2 4 3 3" xfId="4201"/>
    <cellStyle name="20% - akcent 3 3 2 2 4 3 3 2" xfId="4202"/>
    <cellStyle name="20% - akcent 3 3 2 2 4 3 4" xfId="4203"/>
    <cellStyle name="20% - akcent 3 3 2 2 4 3 4 2" xfId="4204"/>
    <cellStyle name="20% - akcent 3 3 2 2 4 3 5" xfId="4205"/>
    <cellStyle name="20% - akcent 3 3 2 2 4 4" xfId="4206"/>
    <cellStyle name="20% - akcent 3 3 2 2 4 4 2" xfId="4207"/>
    <cellStyle name="20% - akcent 3 3 2 2 4 4 2 2" xfId="4208"/>
    <cellStyle name="20% - akcent 3 3 2 2 4 4 2 2 2" xfId="4209"/>
    <cellStyle name="20% - akcent 3 3 2 2 4 4 2 3" xfId="4210"/>
    <cellStyle name="20% - akcent 3 3 2 2 4 4 2 3 2" xfId="4211"/>
    <cellStyle name="20% - akcent 3 3 2 2 4 4 2 4" xfId="4212"/>
    <cellStyle name="20% - akcent 3 3 2 2 4 4 3" xfId="4213"/>
    <cellStyle name="20% - akcent 3 3 2 2 4 4 3 2" xfId="4214"/>
    <cellStyle name="20% - akcent 3 3 2 2 4 4 4" xfId="4215"/>
    <cellStyle name="20% - akcent 3 3 2 2 4 4 4 2" xfId="4216"/>
    <cellStyle name="20% - akcent 3 3 2 2 4 4 5" xfId="4217"/>
    <cellStyle name="20% - akcent 3 3 2 2 4 5" xfId="4218"/>
    <cellStyle name="20% - akcent 3 3 2 2 4 5 2" xfId="4219"/>
    <cellStyle name="20% - akcent 3 3 2 2 4 5 2 2" xfId="4220"/>
    <cellStyle name="20% - akcent 3 3 2 2 4 5 3" xfId="4221"/>
    <cellStyle name="20% - akcent 3 3 2 2 4 5 3 2" xfId="4222"/>
    <cellStyle name="20% - akcent 3 3 2 2 4 5 4" xfId="4223"/>
    <cellStyle name="20% - akcent 3 3 2 2 4 6" xfId="4224"/>
    <cellStyle name="20% - akcent 3 3 2 2 4 6 2" xfId="4225"/>
    <cellStyle name="20% - akcent 3 3 2 2 4 7" xfId="4226"/>
    <cellStyle name="20% - akcent 3 3 2 2 4 7 2" xfId="4227"/>
    <cellStyle name="20% - akcent 3 3 2 2 4 8" xfId="4228"/>
    <cellStyle name="20% - akcent 3 3 2 2 5" xfId="4229"/>
    <cellStyle name="20% - akcent 3 3 2 2 5 2" xfId="4230"/>
    <cellStyle name="20% - akcent 3 3 2 2 5 2 2" xfId="4231"/>
    <cellStyle name="20% - akcent 3 3 2 2 5 2 2 2" xfId="4232"/>
    <cellStyle name="20% - akcent 3 3 2 2 5 2 2 2 2" xfId="4233"/>
    <cellStyle name="20% - akcent 3 3 2 2 5 2 2 3" xfId="4234"/>
    <cellStyle name="20% - akcent 3 3 2 2 5 2 2 3 2" xfId="4235"/>
    <cellStyle name="20% - akcent 3 3 2 2 5 2 2 4" xfId="4236"/>
    <cellStyle name="20% - akcent 3 3 2 2 5 2 3" xfId="4237"/>
    <cellStyle name="20% - akcent 3 3 2 2 5 2 3 2" xfId="4238"/>
    <cellStyle name="20% - akcent 3 3 2 2 5 2 4" xfId="4239"/>
    <cellStyle name="20% - akcent 3 3 2 2 5 2 4 2" xfId="4240"/>
    <cellStyle name="20% - akcent 3 3 2 2 5 2 5" xfId="4241"/>
    <cellStyle name="20% - akcent 3 3 2 2 5 3" xfId="4242"/>
    <cellStyle name="20% - akcent 3 3 2 2 5 3 2" xfId="4243"/>
    <cellStyle name="20% - akcent 3 3 2 2 5 3 2 2" xfId="4244"/>
    <cellStyle name="20% - akcent 3 3 2 2 5 3 3" xfId="4245"/>
    <cellStyle name="20% - akcent 3 3 2 2 5 3 3 2" xfId="4246"/>
    <cellStyle name="20% - akcent 3 3 2 2 5 3 4" xfId="4247"/>
    <cellStyle name="20% - akcent 3 3 2 2 5 4" xfId="4248"/>
    <cellStyle name="20% - akcent 3 3 2 2 5 4 2" xfId="4249"/>
    <cellStyle name="20% - akcent 3 3 2 2 5 5" xfId="4250"/>
    <cellStyle name="20% - akcent 3 3 2 2 5 5 2" xfId="4251"/>
    <cellStyle name="20% - akcent 3 3 2 2 5 6" xfId="4252"/>
    <cellStyle name="20% - akcent 3 3 2 2 6" xfId="4253"/>
    <cellStyle name="20% - akcent 3 3 2 2 6 2" xfId="4254"/>
    <cellStyle name="20% - akcent 3 3 2 2 6 2 2" xfId="4255"/>
    <cellStyle name="20% - akcent 3 3 2 2 6 2 2 2" xfId="4256"/>
    <cellStyle name="20% - akcent 3 3 2 2 6 2 3" xfId="4257"/>
    <cellStyle name="20% - akcent 3 3 2 2 6 2 3 2" xfId="4258"/>
    <cellStyle name="20% - akcent 3 3 2 2 6 2 4" xfId="4259"/>
    <cellStyle name="20% - akcent 3 3 2 2 6 3" xfId="4260"/>
    <cellStyle name="20% - akcent 3 3 2 2 6 3 2" xfId="4261"/>
    <cellStyle name="20% - akcent 3 3 2 2 6 4" xfId="4262"/>
    <cellStyle name="20% - akcent 3 3 2 2 6 4 2" xfId="4263"/>
    <cellStyle name="20% - akcent 3 3 2 2 6 5" xfId="4264"/>
    <cellStyle name="20% - akcent 3 3 2 2 7" xfId="4265"/>
    <cellStyle name="20% - akcent 3 3 2 2 7 2" xfId="4266"/>
    <cellStyle name="20% - akcent 3 3 2 2 7 2 2" xfId="4267"/>
    <cellStyle name="20% - akcent 3 3 2 2 7 2 2 2" xfId="4268"/>
    <cellStyle name="20% - akcent 3 3 2 2 7 2 3" xfId="4269"/>
    <cellStyle name="20% - akcent 3 3 2 2 7 2 3 2" xfId="4270"/>
    <cellStyle name="20% - akcent 3 3 2 2 7 2 4" xfId="4271"/>
    <cellStyle name="20% - akcent 3 3 2 2 7 3" xfId="4272"/>
    <cellStyle name="20% - akcent 3 3 2 2 7 3 2" xfId="4273"/>
    <cellStyle name="20% - akcent 3 3 2 2 7 4" xfId="4274"/>
    <cellStyle name="20% - akcent 3 3 2 2 7 4 2" xfId="4275"/>
    <cellStyle name="20% - akcent 3 3 2 2 7 5" xfId="4276"/>
    <cellStyle name="20% - akcent 3 3 2 2 8" xfId="4277"/>
    <cellStyle name="20% - akcent 3 3 2 2 8 2" xfId="4278"/>
    <cellStyle name="20% - akcent 3 3 2 2 8 2 2" xfId="4279"/>
    <cellStyle name="20% - akcent 3 3 2 2 8 2 2 2" xfId="4280"/>
    <cellStyle name="20% - akcent 3 3 2 2 8 2 3" xfId="4281"/>
    <cellStyle name="20% - akcent 3 3 2 2 8 2 3 2" xfId="4282"/>
    <cellStyle name="20% - akcent 3 3 2 2 8 2 4" xfId="4283"/>
    <cellStyle name="20% - akcent 3 3 2 2 8 3" xfId="4284"/>
    <cellStyle name="20% - akcent 3 3 2 2 8 3 2" xfId="4285"/>
    <cellStyle name="20% - akcent 3 3 2 2 8 4" xfId="4286"/>
    <cellStyle name="20% - akcent 3 3 2 2 8 4 2" xfId="4287"/>
    <cellStyle name="20% - akcent 3 3 2 2 8 5" xfId="4288"/>
    <cellStyle name="20% - akcent 3 3 2 2 9" xfId="4289"/>
    <cellStyle name="20% - akcent 3 3 2 2 9 2" xfId="4290"/>
    <cellStyle name="20% - akcent 3 3 2 2 9 2 2" xfId="4291"/>
    <cellStyle name="20% - akcent 3 3 2 2 9 3" xfId="4292"/>
    <cellStyle name="20% - akcent 3 3 2 2 9 3 2" xfId="4293"/>
    <cellStyle name="20% - akcent 3 3 2 2 9 4" xfId="4294"/>
    <cellStyle name="20% - akcent 3 3 2 3" xfId="4295"/>
    <cellStyle name="20% - akcent 3 3 2 3 10" xfId="4296"/>
    <cellStyle name="20% - akcent 3 3 2 3 10 2" xfId="4297"/>
    <cellStyle name="20% - akcent 3 3 2 3 11" xfId="4298"/>
    <cellStyle name="20% - akcent 3 3 2 3 2" xfId="4299"/>
    <cellStyle name="20% - akcent 3 3 2 3 2 2" xfId="4300"/>
    <cellStyle name="20% - akcent 3 3 2 3 2 2 2" xfId="4301"/>
    <cellStyle name="20% - akcent 3 3 2 3 2 2 2 2" xfId="4302"/>
    <cellStyle name="20% - akcent 3 3 2 3 2 2 2 2 2" xfId="4303"/>
    <cellStyle name="20% - akcent 3 3 2 3 2 2 2 3" xfId="4304"/>
    <cellStyle name="20% - akcent 3 3 2 3 2 2 2 3 2" xfId="4305"/>
    <cellStyle name="20% - akcent 3 3 2 3 2 2 2 4" xfId="4306"/>
    <cellStyle name="20% - akcent 3 3 2 3 2 2 3" xfId="4307"/>
    <cellStyle name="20% - akcent 3 3 2 3 2 2 3 2" xfId="4308"/>
    <cellStyle name="20% - akcent 3 3 2 3 2 2 4" xfId="4309"/>
    <cellStyle name="20% - akcent 3 3 2 3 2 2 4 2" xfId="4310"/>
    <cellStyle name="20% - akcent 3 3 2 3 2 2 5" xfId="4311"/>
    <cellStyle name="20% - akcent 3 3 2 3 2 3" xfId="4312"/>
    <cellStyle name="20% - akcent 3 3 2 3 2 3 2" xfId="4313"/>
    <cellStyle name="20% - akcent 3 3 2 3 2 3 2 2" xfId="4314"/>
    <cellStyle name="20% - akcent 3 3 2 3 2 3 2 2 2" xfId="4315"/>
    <cellStyle name="20% - akcent 3 3 2 3 2 3 2 3" xfId="4316"/>
    <cellStyle name="20% - akcent 3 3 2 3 2 3 2 3 2" xfId="4317"/>
    <cellStyle name="20% - akcent 3 3 2 3 2 3 2 4" xfId="4318"/>
    <cellStyle name="20% - akcent 3 3 2 3 2 3 3" xfId="4319"/>
    <cellStyle name="20% - akcent 3 3 2 3 2 3 3 2" xfId="4320"/>
    <cellStyle name="20% - akcent 3 3 2 3 2 3 4" xfId="4321"/>
    <cellStyle name="20% - akcent 3 3 2 3 2 3 4 2" xfId="4322"/>
    <cellStyle name="20% - akcent 3 3 2 3 2 3 5" xfId="4323"/>
    <cellStyle name="20% - akcent 3 3 2 3 2 4" xfId="4324"/>
    <cellStyle name="20% - akcent 3 3 2 3 2 4 2" xfId="4325"/>
    <cellStyle name="20% - akcent 3 3 2 3 2 4 2 2" xfId="4326"/>
    <cellStyle name="20% - akcent 3 3 2 3 2 4 2 2 2" xfId="4327"/>
    <cellStyle name="20% - akcent 3 3 2 3 2 4 2 3" xfId="4328"/>
    <cellStyle name="20% - akcent 3 3 2 3 2 4 2 3 2" xfId="4329"/>
    <cellStyle name="20% - akcent 3 3 2 3 2 4 2 4" xfId="4330"/>
    <cellStyle name="20% - akcent 3 3 2 3 2 4 3" xfId="4331"/>
    <cellStyle name="20% - akcent 3 3 2 3 2 4 3 2" xfId="4332"/>
    <cellStyle name="20% - akcent 3 3 2 3 2 4 4" xfId="4333"/>
    <cellStyle name="20% - akcent 3 3 2 3 2 4 4 2" xfId="4334"/>
    <cellStyle name="20% - akcent 3 3 2 3 2 4 5" xfId="4335"/>
    <cellStyle name="20% - akcent 3 3 2 3 2 5" xfId="4336"/>
    <cellStyle name="20% - akcent 3 3 2 3 2 5 2" xfId="4337"/>
    <cellStyle name="20% - akcent 3 3 2 3 2 5 2 2" xfId="4338"/>
    <cellStyle name="20% - akcent 3 3 2 3 2 5 3" xfId="4339"/>
    <cellStyle name="20% - akcent 3 3 2 3 2 5 3 2" xfId="4340"/>
    <cellStyle name="20% - akcent 3 3 2 3 2 5 4" xfId="4341"/>
    <cellStyle name="20% - akcent 3 3 2 3 2 6" xfId="4342"/>
    <cellStyle name="20% - akcent 3 3 2 3 2 6 2" xfId="4343"/>
    <cellStyle name="20% - akcent 3 3 2 3 2 7" xfId="4344"/>
    <cellStyle name="20% - akcent 3 3 2 3 2 7 2" xfId="4345"/>
    <cellStyle name="20% - akcent 3 3 2 3 2 8" xfId="4346"/>
    <cellStyle name="20% - akcent 3 3 2 3 3" xfId="4347"/>
    <cellStyle name="20% - akcent 3 3 2 3 3 2" xfId="4348"/>
    <cellStyle name="20% - akcent 3 3 2 3 3 2 2" xfId="4349"/>
    <cellStyle name="20% - akcent 3 3 2 3 3 2 2 2" xfId="4350"/>
    <cellStyle name="20% - akcent 3 3 2 3 3 2 2 2 2" xfId="4351"/>
    <cellStyle name="20% - akcent 3 3 2 3 3 2 2 3" xfId="4352"/>
    <cellStyle name="20% - akcent 3 3 2 3 3 2 2 3 2" xfId="4353"/>
    <cellStyle name="20% - akcent 3 3 2 3 3 2 2 4" xfId="4354"/>
    <cellStyle name="20% - akcent 3 3 2 3 3 2 3" xfId="4355"/>
    <cellStyle name="20% - akcent 3 3 2 3 3 2 3 2" xfId="4356"/>
    <cellStyle name="20% - akcent 3 3 2 3 3 2 4" xfId="4357"/>
    <cellStyle name="20% - akcent 3 3 2 3 3 2 4 2" xfId="4358"/>
    <cellStyle name="20% - akcent 3 3 2 3 3 2 5" xfId="4359"/>
    <cellStyle name="20% - akcent 3 3 2 3 3 3" xfId="4360"/>
    <cellStyle name="20% - akcent 3 3 2 3 3 3 2" xfId="4361"/>
    <cellStyle name="20% - akcent 3 3 2 3 3 3 2 2" xfId="4362"/>
    <cellStyle name="20% - akcent 3 3 2 3 3 3 2 2 2" xfId="4363"/>
    <cellStyle name="20% - akcent 3 3 2 3 3 3 2 3" xfId="4364"/>
    <cellStyle name="20% - akcent 3 3 2 3 3 3 2 3 2" xfId="4365"/>
    <cellStyle name="20% - akcent 3 3 2 3 3 3 2 4" xfId="4366"/>
    <cellStyle name="20% - akcent 3 3 2 3 3 3 3" xfId="4367"/>
    <cellStyle name="20% - akcent 3 3 2 3 3 3 3 2" xfId="4368"/>
    <cellStyle name="20% - akcent 3 3 2 3 3 3 4" xfId="4369"/>
    <cellStyle name="20% - akcent 3 3 2 3 3 3 4 2" xfId="4370"/>
    <cellStyle name="20% - akcent 3 3 2 3 3 3 5" xfId="4371"/>
    <cellStyle name="20% - akcent 3 3 2 3 3 4" xfId="4372"/>
    <cellStyle name="20% - akcent 3 3 2 3 3 4 2" xfId="4373"/>
    <cellStyle name="20% - akcent 3 3 2 3 3 4 2 2" xfId="4374"/>
    <cellStyle name="20% - akcent 3 3 2 3 3 4 2 2 2" xfId="4375"/>
    <cellStyle name="20% - akcent 3 3 2 3 3 4 2 3" xfId="4376"/>
    <cellStyle name="20% - akcent 3 3 2 3 3 4 2 3 2" xfId="4377"/>
    <cellStyle name="20% - akcent 3 3 2 3 3 4 2 4" xfId="4378"/>
    <cellStyle name="20% - akcent 3 3 2 3 3 4 3" xfId="4379"/>
    <cellStyle name="20% - akcent 3 3 2 3 3 4 3 2" xfId="4380"/>
    <cellStyle name="20% - akcent 3 3 2 3 3 4 4" xfId="4381"/>
    <cellStyle name="20% - akcent 3 3 2 3 3 4 4 2" xfId="4382"/>
    <cellStyle name="20% - akcent 3 3 2 3 3 4 5" xfId="4383"/>
    <cellStyle name="20% - akcent 3 3 2 3 3 5" xfId="4384"/>
    <cellStyle name="20% - akcent 3 3 2 3 3 5 2" xfId="4385"/>
    <cellStyle name="20% - akcent 3 3 2 3 3 5 2 2" xfId="4386"/>
    <cellStyle name="20% - akcent 3 3 2 3 3 5 3" xfId="4387"/>
    <cellStyle name="20% - akcent 3 3 2 3 3 5 3 2" xfId="4388"/>
    <cellStyle name="20% - akcent 3 3 2 3 3 5 4" xfId="4389"/>
    <cellStyle name="20% - akcent 3 3 2 3 3 6" xfId="4390"/>
    <cellStyle name="20% - akcent 3 3 2 3 3 6 2" xfId="4391"/>
    <cellStyle name="20% - akcent 3 3 2 3 3 7" xfId="4392"/>
    <cellStyle name="20% - akcent 3 3 2 3 3 7 2" xfId="4393"/>
    <cellStyle name="20% - akcent 3 3 2 3 3 8" xfId="4394"/>
    <cellStyle name="20% - akcent 3 3 2 3 4" xfId="4395"/>
    <cellStyle name="20% - akcent 3 3 2 3 4 2" xfId="4396"/>
    <cellStyle name="20% - akcent 3 3 2 3 4 2 2" xfId="4397"/>
    <cellStyle name="20% - akcent 3 3 2 3 4 2 2 2" xfId="4398"/>
    <cellStyle name="20% - akcent 3 3 2 3 4 2 2 2 2" xfId="4399"/>
    <cellStyle name="20% - akcent 3 3 2 3 4 2 2 3" xfId="4400"/>
    <cellStyle name="20% - akcent 3 3 2 3 4 2 2 3 2" xfId="4401"/>
    <cellStyle name="20% - akcent 3 3 2 3 4 2 2 4" xfId="4402"/>
    <cellStyle name="20% - akcent 3 3 2 3 4 2 3" xfId="4403"/>
    <cellStyle name="20% - akcent 3 3 2 3 4 2 3 2" xfId="4404"/>
    <cellStyle name="20% - akcent 3 3 2 3 4 2 4" xfId="4405"/>
    <cellStyle name="20% - akcent 3 3 2 3 4 2 4 2" xfId="4406"/>
    <cellStyle name="20% - akcent 3 3 2 3 4 2 5" xfId="4407"/>
    <cellStyle name="20% - akcent 3 3 2 3 4 3" xfId="4408"/>
    <cellStyle name="20% - akcent 3 3 2 3 4 3 2" xfId="4409"/>
    <cellStyle name="20% - akcent 3 3 2 3 4 3 2 2" xfId="4410"/>
    <cellStyle name="20% - akcent 3 3 2 3 4 3 3" xfId="4411"/>
    <cellStyle name="20% - akcent 3 3 2 3 4 3 3 2" xfId="4412"/>
    <cellStyle name="20% - akcent 3 3 2 3 4 3 4" xfId="4413"/>
    <cellStyle name="20% - akcent 3 3 2 3 4 4" xfId="4414"/>
    <cellStyle name="20% - akcent 3 3 2 3 4 4 2" xfId="4415"/>
    <cellStyle name="20% - akcent 3 3 2 3 4 5" xfId="4416"/>
    <cellStyle name="20% - akcent 3 3 2 3 4 5 2" xfId="4417"/>
    <cellStyle name="20% - akcent 3 3 2 3 4 6" xfId="4418"/>
    <cellStyle name="20% - akcent 3 3 2 3 5" xfId="4419"/>
    <cellStyle name="20% - akcent 3 3 2 3 5 2" xfId="4420"/>
    <cellStyle name="20% - akcent 3 3 2 3 5 2 2" xfId="4421"/>
    <cellStyle name="20% - akcent 3 3 2 3 5 2 2 2" xfId="4422"/>
    <cellStyle name="20% - akcent 3 3 2 3 5 2 3" xfId="4423"/>
    <cellStyle name="20% - akcent 3 3 2 3 5 2 3 2" xfId="4424"/>
    <cellStyle name="20% - akcent 3 3 2 3 5 2 4" xfId="4425"/>
    <cellStyle name="20% - akcent 3 3 2 3 5 3" xfId="4426"/>
    <cellStyle name="20% - akcent 3 3 2 3 5 3 2" xfId="4427"/>
    <cellStyle name="20% - akcent 3 3 2 3 5 4" xfId="4428"/>
    <cellStyle name="20% - akcent 3 3 2 3 5 4 2" xfId="4429"/>
    <cellStyle name="20% - akcent 3 3 2 3 5 5" xfId="4430"/>
    <cellStyle name="20% - akcent 3 3 2 3 6" xfId="4431"/>
    <cellStyle name="20% - akcent 3 3 2 3 6 2" xfId="4432"/>
    <cellStyle name="20% - akcent 3 3 2 3 6 2 2" xfId="4433"/>
    <cellStyle name="20% - akcent 3 3 2 3 6 2 2 2" xfId="4434"/>
    <cellStyle name="20% - akcent 3 3 2 3 6 2 3" xfId="4435"/>
    <cellStyle name="20% - akcent 3 3 2 3 6 2 3 2" xfId="4436"/>
    <cellStyle name="20% - akcent 3 3 2 3 6 2 4" xfId="4437"/>
    <cellStyle name="20% - akcent 3 3 2 3 6 3" xfId="4438"/>
    <cellStyle name="20% - akcent 3 3 2 3 6 3 2" xfId="4439"/>
    <cellStyle name="20% - akcent 3 3 2 3 6 4" xfId="4440"/>
    <cellStyle name="20% - akcent 3 3 2 3 6 4 2" xfId="4441"/>
    <cellStyle name="20% - akcent 3 3 2 3 6 5" xfId="4442"/>
    <cellStyle name="20% - akcent 3 3 2 3 7" xfId="4443"/>
    <cellStyle name="20% - akcent 3 3 2 3 7 2" xfId="4444"/>
    <cellStyle name="20% - akcent 3 3 2 3 7 2 2" xfId="4445"/>
    <cellStyle name="20% - akcent 3 3 2 3 7 2 2 2" xfId="4446"/>
    <cellStyle name="20% - akcent 3 3 2 3 7 2 3" xfId="4447"/>
    <cellStyle name="20% - akcent 3 3 2 3 7 2 3 2" xfId="4448"/>
    <cellStyle name="20% - akcent 3 3 2 3 7 2 4" xfId="4449"/>
    <cellStyle name="20% - akcent 3 3 2 3 7 3" xfId="4450"/>
    <cellStyle name="20% - akcent 3 3 2 3 7 3 2" xfId="4451"/>
    <cellStyle name="20% - akcent 3 3 2 3 7 4" xfId="4452"/>
    <cellStyle name="20% - akcent 3 3 2 3 7 4 2" xfId="4453"/>
    <cellStyle name="20% - akcent 3 3 2 3 7 5" xfId="4454"/>
    <cellStyle name="20% - akcent 3 3 2 3 8" xfId="4455"/>
    <cellStyle name="20% - akcent 3 3 2 3 8 2" xfId="4456"/>
    <cellStyle name="20% - akcent 3 3 2 3 8 2 2" xfId="4457"/>
    <cellStyle name="20% - akcent 3 3 2 3 8 3" xfId="4458"/>
    <cellStyle name="20% - akcent 3 3 2 3 8 3 2" xfId="4459"/>
    <cellStyle name="20% - akcent 3 3 2 3 8 4" xfId="4460"/>
    <cellStyle name="20% - akcent 3 3 2 3 9" xfId="4461"/>
    <cellStyle name="20% - akcent 3 3 2 3 9 2" xfId="4462"/>
    <cellStyle name="20% - akcent 3 3 2 4" xfId="4463"/>
    <cellStyle name="20% - akcent 3 3 2 4 10" xfId="4464"/>
    <cellStyle name="20% - akcent 3 3 2 4 2" xfId="4465"/>
    <cellStyle name="20% - akcent 3 3 2 4 2 2" xfId="4466"/>
    <cellStyle name="20% - akcent 3 3 2 4 2 2 2" xfId="4467"/>
    <cellStyle name="20% - akcent 3 3 2 4 2 2 2 2" xfId="4468"/>
    <cellStyle name="20% - akcent 3 3 2 4 2 2 2 2 2" xfId="4469"/>
    <cellStyle name="20% - akcent 3 3 2 4 2 2 2 3" xfId="4470"/>
    <cellStyle name="20% - akcent 3 3 2 4 2 2 2 3 2" xfId="4471"/>
    <cellStyle name="20% - akcent 3 3 2 4 2 2 2 4" xfId="4472"/>
    <cellStyle name="20% - akcent 3 3 2 4 2 2 3" xfId="4473"/>
    <cellStyle name="20% - akcent 3 3 2 4 2 2 3 2" xfId="4474"/>
    <cellStyle name="20% - akcent 3 3 2 4 2 2 4" xfId="4475"/>
    <cellStyle name="20% - akcent 3 3 2 4 2 2 4 2" xfId="4476"/>
    <cellStyle name="20% - akcent 3 3 2 4 2 2 5" xfId="4477"/>
    <cellStyle name="20% - akcent 3 3 2 4 2 3" xfId="4478"/>
    <cellStyle name="20% - akcent 3 3 2 4 2 3 2" xfId="4479"/>
    <cellStyle name="20% - akcent 3 3 2 4 2 3 2 2" xfId="4480"/>
    <cellStyle name="20% - akcent 3 3 2 4 2 3 2 2 2" xfId="4481"/>
    <cellStyle name="20% - akcent 3 3 2 4 2 3 2 3" xfId="4482"/>
    <cellStyle name="20% - akcent 3 3 2 4 2 3 2 3 2" xfId="4483"/>
    <cellStyle name="20% - akcent 3 3 2 4 2 3 2 4" xfId="4484"/>
    <cellStyle name="20% - akcent 3 3 2 4 2 3 3" xfId="4485"/>
    <cellStyle name="20% - akcent 3 3 2 4 2 3 3 2" xfId="4486"/>
    <cellStyle name="20% - akcent 3 3 2 4 2 3 4" xfId="4487"/>
    <cellStyle name="20% - akcent 3 3 2 4 2 3 4 2" xfId="4488"/>
    <cellStyle name="20% - akcent 3 3 2 4 2 3 5" xfId="4489"/>
    <cellStyle name="20% - akcent 3 3 2 4 2 4" xfId="4490"/>
    <cellStyle name="20% - akcent 3 3 2 4 2 4 2" xfId="4491"/>
    <cellStyle name="20% - akcent 3 3 2 4 2 4 2 2" xfId="4492"/>
    <cellStyle name="20% - akcent 3 3 2 4 2 4 2 2 2" xfId="4493"/>
    <cellStyle name="20% - akcent 3 3 2 4 2 4 2 3" xfId="4494"/>
    <cellStyle name="20% - akcent 3 3 2 4 2 4 2 3 2" xfId="4495"/>
    <cellStyle name="20% - akcent 3 3 2 4 2 4 2 4" xfId="4496"/>
    <cellStyle name="20% - akcent 3 3 2 4 2 4 3" xfId="4497"/>
    <cellStyle name="20% - akcent 3 3 2 4 2 4 3 2" xfId="4498"/>
    <cellStyle name="20% - akcent 3 3 2 4 2 4 4" xfId="4499"/>
    <cellStyle name="20% - akcent 3 3 2 4 2 4 4 2" xfId="4500"/>
    <cellStyle name="20% - akcent 3 3 2 4 2 4 5" xfId="4501"/>
    <cellStyle name="20% - akcent 3 3 2 4 2 5" xfId="4502"/>
    <cellStyle name="20% - akcent 3 3 2 4 2 5 2" xfId="4503"/>
    <cellStyle name="20% - akcent 3 3 2 4 2 5 2 2" xfId="4504"/>
    <cellStyle name="20% - akcent 3 3 2 4 2 5 3" xfId="4505"/>
    <cellStyle name="20% - akcent 3 3 2 4 2 5 3 2" xfId="4506"/>
    <cellStyle name="20% - akcent 3 3 2 4 2 5 4" xfId="4507"/>
    <cellStyle name="20% - akcent 3 3 2 4 2 6" xfId="4508"/>
    <cellStyle name="20% - akcent 3 3 2 4 2 6 2" xfId="4509"/>
    <cellStyle name="20% - akcent 3 3 2 4 2 7" xfId="4510"/>
    <cellStyle name="20% - akcent 3 3 2 4 2 7 2" xfId="4511"/>
    <cellStyle name="20% - akcent 3 3 2 4 2 8" xfId="4512"/>
    <cellStyle name="20% - akcent 3 3 2 4 3" xfId="4513"/>
    <cellStyle name="20% - akcent 3 3 2 4 3 2" xfId="4514"/>
    <cellStyle name="20% - akcent 3 3 2 4 3 2 2" xfId="4515"/>
    <cellStyle name="20% - akcent 3 3 2 4 3 2 2 2" xfId="4516"/>
    <cellStyle name="20% - akcent 3 3 2 4 3 2 2 2 2" xfId="4517"/>
    <cellStyle name="20% - akcent 3 3 2 4 3 2 2 3" xfId="4518"/>
    <cellStyle name="20% - akcent 3 3 2 4 3 2 2 3 2" xfId="4519"/>
    <cellStyle name="20% - akcent 3 3 2 4 3 2 2 4" xfId="4520"/>
    <cellStyle name="20% - akcent 3 3 2 4 3 2 3" xfId="4521"/>
    <cellStyle name="20% - akcent 3 3 2 4 3 2 3 2" xfId="4522"/>
    <cellStyle name="20% - akcent 3 3 2 4 3 2 4" xfId="4523"/>
    <cellStyle name="20% - akcent 3 3 2 4 3 2 4 2" xfId="4524"/>
    <cellStyle name="20% - akcent 3 3 2 4 3 2 5" xfId="4525"/>
    <cellStyle name="20% - akcent 3 3 2 4 3 3" xfId="4526"/>
    <cellStyle name="20% - akcent 3 3 2 4 3 3 2" xfId="4527"/>
    <cellStyle name="20% - akcent 3 3 2 4 3 3 2 2" xfId="4528"/>
    <cellStyle name="20% - akcent 3 3 2 4 3 3 2 2 2" xfId="4529"/>
    <cellStyle name="20% - akcent 3 3 2 4 3 3 2 3" xfId="4530"/>
    <cellStyle name="20% - akcent 3 3 2 4 3 3 2 3 2" xfId="4531"/>
    <cellStyle name="20% - akcent 3 3 2 4 3 3 2 4" xfId="4532"/>
    <cellStyle name="20% - akcent 3 3 2 4 3 3 3" xfId="4533"/>
    <cellStyle name="20% - akcent 3 3 2 4 3 3 3 2" xfId="4534"/>
    <cellStyle name="20% - akcent 3 3 2 4 3 3 4" xfId="4535"/>
    <cellStyle name="20% - akcent 3 3 2 4 3 3 4 2" xfId="4536"/>
    <cellStyle name="20% - akcent 3 3 2 4 3 3 5" xfId="4537"/>
    <cellStyle name="20% - akcent 3 3 2 4 3 4" xfId="4538"/>
    <cellStyle name="20% - akcent 3 3 2 4 3 4 2" xfId="4539"/>
    <cellStyle name="20% - akcent 3 3 2 4 3 4 2 2" xfId="4540"/>
    <cellStyle name="20% - akcent 3 3 2 4 3 4 2 2 2" xfId="4541"/>
    <cellStyle name="20% - akcent 3 3 2 4 3 4 2 3" xfId="4542"/>
    <cellStyle name="20% - akcent 3 3 2 4 3 4 2 3 2" xfId="4543"/>
    <cellStyle name="20% - akcent 3 3 2 4 3 4 2 4" xfId="4544"/>
    <cellStyle name="20% - akcent 3 3 2 4 3 4 3" xfId="4545"/>
    <cellStyle name="20% - akcent 3 3 2 4 3 4 3 2" xfId="4546"/>
    <cellStyle name="20% - akcent 3 3 2 4 3 4 4" xfId="4547"/>
    <cellStyle name="20% - akcent 3 3 2 4 3 4 4 2" xfId="4548"/>
    <cellStyle name="20% - akcent 3 3 2 4 3 4 5" xfId="4549"/>
    <cellStyle name="20% - akcent 3 3 2 4 3 5" xfId="4550"/>
    <cellStyle name="20% - akcent 3 3 2 4 3 5 2" xfId="4551"/>
    <cellStyle name="20% - akcent 3 3 2 4 3 5 2 2" xfId="4552"/>
    <cellStyle name="20% - akcent 3 3 2 4 3 5 3" xfId="4553"/>
    <cellStyle name="20% - akcent 3 3 2 4 3 5 3 2" xfId="4554"/>
    <cellStyle name="20% - akcent 3 3 2 4 3 5 4" xfId="4555"/>
    <cellStyle name="20% - akcent 3 3 2 4 3 6" xfId="4556"/>
    <cellStyle name="20% - akcent 3 3 2 4 3 6 2" xfId="4557"/>
    <cellStyle name="20% - akcent 3 3 2 4 3 7" xfId="4558"/>
    <cellStyle name="20% - akcent 3 3 2 4 3 7 2" xfId="4559"/>
    <cellStyle name="20% - akcent 3 3 2 4 3 8" xfId="4560"/>
    <cellStyle name="20% - akcent 3 3 2 4 4" xfId="4561"/>
    <cellStyle name="20% - akcent 3 3 2 4 4 2" xfId="4562"/>
    <cellStyle name="20% - akcent 3 3 2 4 4 2 2" xfId="4563"/>
    <cellStyle name="20% - akcent 3 3 2 4 4 2 2 2" xfId="4564"/>
    <cellStyle name="20% - akcent 3 3 2 4 4 2 3" xfId="4565"/>
    <cellStyle name="20% - akcent 3 3 2 4 4 2 3 2" xfId="4566"/>
    <cellStyle name="20% - akcent 3 3 2 4 4 2 4" xfId="4567"/>
    <cellStyle name="20% - akcent 3 3 2 4 4 3" xfId="4568"/>
    <cellStyle name="20% - akcent 3 3 2 4 4 3 2" xfId="4569"/>
    <cellStyle name="20% - akcent 3 3 2 4 4 4" xfId="4570"/>
    <cellStyle name="20% - akcent 3 3 2 4 4 4 2" xfId="4571"/>
    <cellStyle name="20% - akcent 3 3 2 4 4 5" xfId="4572"/>
    <cellStyle name="20% - akcent 3 3 2 4 5" xfId="4573"/>
    <cellStyle name="20% - akcent 3 3 2 4 5 2" xfId="4574"/>
    <cellStyle name="20% - akcent 3 3 2 4 5 2 2" xfId="4575"/>
    <cellStyle name="20% - akcent 3 3 2 4 5 2 2 2" xfId="4576"/>
    <cellStyle name="20% - akcent 3 3 2 4 5 2 3" xfId="4577"/>
    <cellStyle name="20% - akcent 3 3 2 4 5 2 3 2" xfId="4578"/>
    <cellStyle name="20% - akcent 3 3 2 4 5 2 4" xfId="4579"/>
    <cellStyle name="20% - akcent 3 3 2 4 5 3" xfId="4580"/>
    <cellStyle name="20% - akcent 3 3 2 4 5 3 2" xfId="4581"/>
    <cellStyle name="20% - akcent 3 3 2 4 5 4" xfId="4582"/>
    <cellStyle name="20% - akcent 3 3 2 4 5 4 2" xfId="4583"/>
    <cellStyle name="20% - akcent 3 3 2 4 5 5" xfId="4584"/>
    <cellStyle name="20% - akcent 3 3 2 4 6" xfId="4585"/>
    <cellStyle name="20% - akcent 3 3 2 4 6 2" xfId="4586"/>
    <cellStyle name="20% - akcent 3 3 2 4 6 2 2" xfId="4587"/>
    <cellStyle name="20% - akcent 3 3 2 4 6 2 2 2" xfId="4588"/>
    <cellStyle name="20% - akcent 3 3 2 4 6 2 3" xfId="4589"/>
    <cellStyle name="20% - akcent 3 3 2 4 6 2 3 2" xfId="4590"/>
    <cellStyle name="20% - akcent 3 3 2 4 6 2 4" xfId="4591"/>
    <cellStyle name="20% - akcent 3 3 2 4 6 3" xfId="4592"/>
    <cellStyle name="20% - akcent 3 3 2 4 6 3 2" xfId="4593"/>
    <cellStyle name="20% - akcent 3 3 2 4 6 4" xfId="4594"/>
    <cellStyle name="20% - akcent 3 3 2 4 6 4 2" xfId="4595"/>
    <cellStyle name="20% - akcent 3 3 2 4 6 5" xfId="4596"/>
    <cellStyle name="20% - akcent 3 3 2 4 7" xfId="4597"/>
    <cellStyle name="20% - akcent 3 3 2 4 7 2" xfId="4598"/>
    <cellStyle name="20% - akcent 3 3 2 4 7 2 2" xfId="4599"/>
    <cellStyle name="20% - akcent 3 3 2 4 7 3" xfId="4600"/>
    <cellStyle name="20% - akcent 3 3 2 4 7 3 2" xfId="4601"/>
    <cellStyle name="20% - akcent 3 3 2 4 7 4" xfId="4602"/>
    <cellStyle name="20% - akcent 3 3 2 4 8" xfId="4603"/>
    <cellStyle name="20% - akcent 3 3 2 4 8 2" xfId="4604"/>
    <cellStyle name="20% - akcent 3 3 2 4 9" xfId="4605"/>
    <cellStyle name="20% - akcent 3 3 2 4 9 2" xfId="4606"/>
    <cellStyle name="20% - akcent 3 3 2 5" xfId="4607"/>
    <cellStyle name="20% - akcent 3 3 2 5 2" xfId="4608"/>
    <cellStyle name="20% - akcent 3 3 2 5 2 2" xfId="4609"/>
    <cellStyle name="20% - akcent 3 3 2 5 2 2 2" xfId="4610"/>
    <cellStyle name="20% - akcent 3 3 2 5 2 2 2 2" xfId="4611"/>
    <cellStyle name="20% - akcent 3 3 2 5 2 2 3" xfId="4612"/>
    <cellStyle name="20% - akcent 3 3 2 5 2 2 3 2" xfId="4613"/>
    <cellStyle name="20% - akcent 3 3 2 5 2 2 4" xfId="4614"/>
    <cellStyle name="20% - akcent 3 3 2 5 2 3" xfId="4615"/>
    <cellStyle name="20% - akcent 3 3 2 5 2 3 2" xfId="4616"/>
    <cellStyle name="20% - akcent 3 3 2 5 2 4" xfId="4617"/>
    <cellStyle name="20% - akcent 3 3 2 5 2 4 2" xfId="4618"/>
    <cellStyle name="20% - akcent 3 3 2 5 2 5" xfId="4619"/>
    <cellStyle name="20% - akcent 3 3 2 5 3" xfId="4620"/>
    <cellStyle name="20% - akcent 3 3 2 5 3 2" xfId="4621"/>
    <cellStyle name="20% - akcent 3 3 2 5 3 2 2" xfId="4622"/>
    <cellStyle name="20% - akcent 3 3 2 5 3 2 2 2" xfId="4623"/>
    <cellStyle name="20% - akcent 3 3 2 5 3 2 3" xfId="4624"/>
    <cellStyle name="20% - akcent 3 3 2 5 3 2 3 2" xfId="4625"/>
    <cellStyle name="20% - akcent 3 3 2 5 3 2 4" xfId="4626"/>
    <cellStyle name="20% - akcent 3 3 2 5 3 3" xfId="4627"/>
    <cellStyle name="20% - akcent 3 3 2 5 3 3 2" xfId="4628"/>
    <cellStyle name="20% - akcent 3 3 2 5 3 4" xfId="4629"/>
    <cellStyle name="20% - akcent 3 3 2 5 3 4 2" xfId="4630"/>
    <cellStyle name="20% - akcent 3 3 2 5 3 5" xfId="4631"/>
    <cellStyle name="20% - akcent 3 3 2 5 4" xfId="4632"/>
    <cellStyle name="20% - akcent 3 3 2 5 4 2" xfId="4633"/>
    <cellStyle name="20% - akcent 3 3 2 5 4 2 2" xfId="4634"/>
    <cellStyle name="20% - akcent 3 3 2 5 4 2 2 2" xfId="4635"/>
    <cellStyle name="20% - akcent 3 3 2 5 4 2 3" xfId="4636"/>
    <cellStyle name="20% - akcent 3 3 2 5 4 2 3 2" xfId="4637"/>
    <cellStyle name="20% - akcent 3 3 2 5 4 2 4" xfId="4638"/>
    <cellStyle name="20% - akcent 3 3 2 5 4 3" xfId="4639"/>
    <cellStyle name="20% - akcent 3 3 2 5 4 3 2" xfId="4640"/>
    <cellStyle name="20% - akcent 3 3 2 5 4 4" xfId="4641"/>
    <cellStyle name="20% - akcent 3 3 2 5 4 4 2" xfId="4642"/>
    <cellStyle name="20% - akcent 3 3 2 5 4 5" xfId="4643"/>
    <cellStyle name="20% - akcent 3 3 2 5 5" xfId="4644"/>
    <cellStyle name="20% - akcent 3 3 2 5 5 2" xfId="4645"/>
    <cellStyle name="20% - akcent 3 3 2 5 5 2 2" xfId="4646"/>
    <cellStyle name="20% - akcent 3 3 2 5 5 3" xfId="4647"/>
    <cellStyle name="20% - akcent 3 3 2 5 5 3 2" xfId="4648"/>
    <cellStyle name="20% - akcent 3 3 2 5 5 4" xfId="4649"/>
    <cellStyle name="20% - akcent 3 3 2 5 6" xfId="4650"/>
    <cellStyle name="20% - akcent 3 3 2 5 6 2" xfId="4651"/>
    <cellStyle name="20% - akcent 3 3 2 5 7" xfId="4652"/>
    <cellStyle name="20% - akcent 3 3 2 5 7 2" xfId="4653"/>
    <cellStyle name="20% - akcent 3 3 2 5 8" xfId="4654"/>
    <cellStyle name="20% - akcent 3 3 2 6" xfId="4655"/>
    <cellStyle name="20% - akcent 3 3 2 6 2" xfId="4656"/>
    <cellStyle name="20% - akcent 3 3 2 6 2 2" xfId="4657"/>
    <cellStyle name="20% - akcent 3 3 2 6 2 2 2" xfId="4658"/>
    <cellStyle name="20% - akcent 3 3 2 6 2 2 2 2" xfId="4659"/>
    <cellStyle name="20% - akcent 3 3 2 6 2 2 3" xfId="4660"/>
    <cellStyle name="20% - akcent 3 3 2 6 2 2 3 2" xfId="4661"/>
    <cellStyle name="20% - akcent 3 3 2 6 2 2 4" xfId="4662"/>
    <cellStyle name="20% - akcent 3 3 2 6 2 3" xfId="4663"/>
    <cellStyle name="20% - akcent 3 3 2 6 2 3 2" xfId="4664"/>
    <cellStyle name="20% - akcent 3 3 2 6 2 4" xfId="4665"/>
    <cellStyle name="20% - akcent 3 3 2 6 2 4 2" xfId="4666"/>
    <cellStyle name="20% - akcent 3 3 2 6 2 5" xfId="4667"/>
    <cellStyle name="20% - akcent 3 3 2 6 3" xfId="4668"/>
    <cellStyle name="20% - akcent 3 3 2 6 3 2" xfId="4669"/>
    <cellStyle name="20% - akcent 3 3 2 6 3 2 2" xfId="4670"/>
    <cellStyle name="20% - akcent 3 3 2 6 3 2 2 2" xfId="4671"/>
    <cellStyle name="20% - akcent 3 3 2 6 3 2 3" xfId="4672"/>
    <cellStyle name="20% - akcent 3 3 2 6 3 2 3 2" xfId="4673"/>
    <cellStyle name="20% - akcent 3 3 2 6 3 2 4" xfId="4674"/>
    <cellStyle name="20% - akcent 3 3 2 6 3 3" xfId="4675"/>
    <cellStyle name="20% - akcent 3 3 2 6 3 3 2" xfId="4676"/>
    <cellStyle name="20% - akcent 3 3 2 6 3 4" xfId="4677"/>
    <cellStyle name="20% - akcent 3 3 2 6 3 4 2" xfId="4678"/>
    <cellStyle name="20% - akcent 3 3 2 6 3 5" xfId="4679"/>
    <cellStyle name="20% - akcent 3 3 2 6 4" xfId="4680"/>
    <cellStyle name="20% - akcent 3 3 2 6 4 2" xfId="4681"/>
    <cellStyle name="20% - akcent 3 3 2 6 4 2 2" xfId="4682"/>
    <cellStyle name="20% - akcent 3 3 2 6 4 2 2 2" xfId="4683"/>
    <cellStyle name="20% - akcent 3 3 2 6 4 2 3" xfId="4684"/>
    <cellStyle name="20% - akcent 3 3 2 6 4 2 3 2" xfId="4685"/>
    <cellStyle name="20% - akcent 3 3 2 6 4 2 4" xfId="4686"/>
    <cellStyle name="20% - akcent 3 3 2 6 4 3" xfId="4687"/>
    <cellStyle name="20% - akcent 3 3 2 6 4 3 2" xfId="4688"/>
    <cellStyle name="20% - akcent 3 3 2 6 4 4" xfId="4689"/>
    <cellStyle name="20% - akcent 3 3 2 6 4 4 2" xfId="4690"/>
    <cellStyle name="20% - akcent 3 3 2 6 4 5" xfId="4691"/>
    <cellStyle name="20% - akcent 3 3 2 6 5" xfId="4692"/>
    <cellStyle name="20% - akcent 3 3 2 6 5 2" xfId="4693"/>
    <cellStyle name="20% - akcent 3 3 2 6 5 2 2" xfId="4694"/>
    <cellStyle name="20% - akcent 3 3 2 6 5 3" xfId="4695"/>
    <cellStyle name="20% - akcent 3 3 2 6 5 3 2" xfId="4696"/>
    <cellStyle name="20% - akcent 3 3 2 6 5 4" xfId="4697"/>
    <cellStyle name="20% - akcent 3 3 2 6 6" xfId="4698"/>
    <cellStyle name="20% - akcent 3 3 2 6 6 2" xfId="4699"/>
    <cellStyle name="20% - akcent 3 3 2 6 7" xfId="4700"/>
    <cellStyle name="20% - akcent 3 3 2 6 7 2" xfId="4701"/>
    <cellStyle name="20% - akcent 3 3 2 6 8" xfId="4702"/>
    <cellStyle name="20% - akcent 3 3 2 7" xfId="4703"/>
    <cellStyle name="20% - akcent 3 3 2 7 2" xfId="4704"/>
    <cellStyle name="20% - akcent 3 3 2 7 2 2" xfId="4705"/>
    <cellStyle name="20% - akcent 3 3 2 7 2 2 2" xfId="4706"/>
    <cellStyle name="20% - akcent 3 3 2 7 2 2 2 2" xfId="4707"/>
    <cellStyle name="20% - akcent 3 3 2 7 2 2 3" xfId="4708"/>
    <cellStyle name="20% - akcent 3 3 2 7 2 2 3 2" xfId="4709"/>
    <cellStyle name="20% - akcent 3 3 2 7 2 2 4" xfId="4710"/>
    <cellStyle name="20% - akcent 3 3 2 7 2 3" xfId="4711"/>
    <cellStyle name="20% - akcent 3 3 2 7 2 3 2" xfId="4712"/>
    <cellStyle name="20% - akcent 3 3 2 7 2 4" xfId="4713"/>
    <cellStyle name="20% - akcent 3 3 2 7 2 4 2" xfId="4714"/>
    <cellStyle name="20% - akcent 3 3 2 7 2 5" xfId="4715"/>
    <cellStyle name="20% - akcent 3 3 2 7 3" xfId="4716"/>
    <cellStyle name="20% - akcent 3 3 2 7 3 2" xfId="4717"/>
    <cellStyle name="20% - akcent 3 3 2 7 3 2 2" xfId="4718"/>
    <cellStyle name="20% - akcent 3 3 2 7 3 3" xfId="4719"/>
    <cellStyle name="20% - akcent 3 3 2 7 3 3 2" xfId="4720"/>
    <cellStyle name="20% - akcent 3 3 2 7 3 4" xfId="4721"/>
    <cellStyle name="20% - akcent 3 3 2 7 4" xfId="4722"/>
    <cellStyle name="20% - akcent 3 3 2 7 4 2" xfId="4723"/>
    <cellStyle name="20% - akcent 3 3 2 7 5" xfId="4724"/>
    <cellStyle name="20% - akcent 3 3 2 7 5 2" xfId="4725"/>
    <cellStyle name="20% - akcent 3 3 2 7 6" xfId="4726"/>
    <cellStyle name="20% - akcent 3 3 2 8" xfId="4727"/>
    <cellStyle name="20% - akcent 3 3 2 8 2" xfId="4728"/>
    <cellStyle name="20% - akcent 3 3 2 8 2 2" xfId="4729"/>
    <cellStyle name="20% - akcent 3 3 2 8 2 2 2" xfId="4730"/>
    <cellStyle name="20% - akcent 3 3 2 8 2 3" xfId="4731"/>
    <cellStyle name="20% - akcent 3 3 2 8 2 3 2" xfId="4732"/>
    <cellStyle name="20% - akcent 3 3 2 8 2 4" xfId="4733"/>
    <cellStyle name="20% - akcent 3 3 2 8 3" xfId="4734"/>
    <cellStyle name="20% - akcent 3 3 2 8 3 2" xfId="4735"/>
    <cellStyle name="20% - akcent 3 3 2 8 4" xfId="4736"/>
    <cellStyle name="20% - akcent 3 3 2 8 4 2" xfId="4737"/>
    <cellStyle name="20% - akcent 3 3 2 8 5" xfId="4738"/>
    <cellStyle name="20% - akcent 3 3 2 9" xfId="4739"/>
    <cellStyle name="20% - akcent 3 3 2 9 2" xfId="4740"/>
    <cellStyle name="20% - akcent 3 3 2 9 2 2" xfId="4741"/>
    <cellStyle name="20% - akcent 3 3 2 9 2 2 2" xfId="4742"/>
    <cellStyle name="20% - akcent 3 3 2 9 2 3" xfId="4743"/>
    <cellStyle name="20% - akcent 3 3 2 9 2 3 2" xfId="4744"/>
    <cellStyle name="20% - akcent 3 3 2 9 2 4" xfId="4745"/>
    <cellStyle name="20% - akcent 3 3 2 9 3" xfId="4746"/>
    <cellStyle name="20% - akcent 3 3 2 9 3 2" xfId="4747"/>
    <cellStyle name="20% - akcent 3 3 2 9 4" xfId="4748"/>
    <cellStyle name="20% - akcent 3 3 2 9 4 2" xfId="4749"/>
    <cellStyle name="20% - akcent 3 3 2 9 5" xfId="4750"/>
    <cellStyle name="20% - akcent 3 3 3" xfId="4751"/>
    <cellStyle name="20% - akcent 3 3 3 10" xfId="4752"/>
    <cellStyle name="20% - akcent 3 3 3 10 2" xfId="4753"/>
    <cellStyle name="20% - akcent 3 3 3 11" xfId="4754"/>
    <cellStyle name="20% - akcent 3 3 3 11 2" xfId="4755"/>
    <cellStyle name="20% - akcent 3 3 3 12" xfId="4756"/>
    <cellStyle name="20% - akcent 3 3 3 2" xfId="4757"/>
    <cellStyle name="20% - akcent 3 3 3 2 10" xfId="4758"/>
    <cellStyle name="20% - akcent 3 3 3 2 10 2" xfId="4759"/>
    <cellStyle name="20% - akcent 3 3 3 2 11" xfId="4760"/>
    <cellStyle name="20% - akcent 3 3 3 2 2" xfId="4761"/>
    <cellStyle name="20% - akcent 3 3 3 2 2 2" xfId="4762"/>
    <cellStyle name="20% - akcent 3 3 3 2 2 2 2" xfId="4763"/>
    <cellStyle name="20% - akcent 3 3 3 2 2 2 2 2" xfId="4764"/>
    <cellStyle name="20% - akcent 3 3 3 2 2 2 2 2 2" xfId="4765"/>
    <cellStyle name="20% - akcent 3 3 3 2 2 2 2 3" xfId="4766"/>
    <cellStyle name="20% - akcent 3 3 3 2 2 2 2 3 2" xfId="4767"/>
    <cellStyle name="20% - akcent 3 3 3 2 2 2 2 4" xfId="4768"/>
    <cellStyle name="20% - akcent 3 3 3 2 2 2 3" xfId="4769"/>
    <cellStyle name="20% - akcent 3 3 3 2 2 2 3 2" xfId="4770"/>
    <cellStyle name="20% - akcent 3 3 3 2 2 2 4" xfId="4771"/>
    <cellStyle name="20% - akcent 3 3 3 2 2 2 4 2" xfId="4772"/>
    <cellStyle name="20% - akcent 3 3 3 2 2 2 5" xfId="4773"/>
    <cellStyle name="20% - akcent 3 3 3 2 2 3" xfId="4774"/>
    <cellStyle name="20% - akcent 3 3 3 2 2 3 2" xfId="4775"/>
    <cellStyle name="20% - akcent 3 3 3 2 2 3 2 2" xfId="4776"/>
    <cellStyle name="20% - akcent 3 3 3 2 2 3 2 2 2" xfId="4777"/>
    <cellStyle name="20% - akcent 3 3 3 2 2 3 2 3" xfId="4778"/>
    <cellStyle name="20% - akcent 3 3 3 2 2 3 2 3 2" xfId="4779"/>
    <cellStyle name="20% - akcent 3 3 3 2 2 3 2 4" xfId="4780"/>
    <cellStyle name="20% - akcent 3 3 3 2 2 3 3" xfId="4781"/>
    <cellStyle name="20% - akcent 3 3 3 2 2 3 3 2" xfId="4782"/>
    <cellStyle name="20% - akcent 3 3 3 2 2 3 4" xfId="4783"/>
    <cellStyle name="20% - akcent 3 3 3 2 2 3 4 2" xfId="4784"/>
    <cellStyle name="20% - akcent 3 3 3 2 2 3 5" xfId="4785"/>
    <cellStyle name="20% - akcent 3 3 3 2 2 4" xfId="4786"/>
    <cellStyle name="20% - akcent 3 3 3 2 2 4 2" xfId="4787"/>
    <cellStyle name="20% - akcent 3 3 3 2 2 4 2 2" xfId="4788"/>
    <cellStyle name="20% - akcent 3 3 3 2 2 4 2 2 2" xfId="4789"/>
    <cellStyle name="20% - akcent 3 3 3 2 2 4 2 3" xfId="4790"/>
    <cellStyle name="20% - akcent 3 3 3 2 2 4 2 3 2" xfId="4791"/>
    <cellStyle name="20% - akcent 3 3 3 2 2 4 2 4" xfId="4792"/>
    <cellStyle name="20% - akcent 3 3 3 2 2 4 3" xfId="4793"/>
    <cellStyle name="20% - akcent 3 3 3 2 2 4 3 2" xfId="4794"/>
    <cellStyle name="20% - akcent 3 3 3 2 2 4 4" xfId="4795"/>
    <cellStyle name="20% - akcent 3 3 3 2 2 4 4 2" xfId="4796"/>
    <cellStyle name="20% - akcent 3 3 3 2 2 4 5" xfId="4797"/>
    <cellStyle name="20% - akcent 3 3 3 2 2 5" xfId="4798"/>
    <cellStyle name="20% - akcent 3 3 3 2 2 5 2" xfId="4799"/>
    <cellStyle name="20% - akcent 3 3 3 2 2 5 2 2" xfId="4800"/>
    <cellStyle name="20% - akcent 3 3 3 2 2 5 3" xfId="4801"/>
    <cellStyle name="20% - akcent 3 3 3 2 2 5 3 2" xfId="4802"/>
    <cellStyle name="20% - akcent 3 3 3 2 2 5 4" xfId="4803"/>
    <cellStyle name="20% - akcent 3 3 3 2 2 6" xfId="4804"/>
    <cellStyle name="20% - akcent 3 3 3 2 2 6 2" xfId="4805"/>
    <cellStyle name="20% - akcent 3 3 3 2 2 7" xfId="4806"/>
    <cellStyle name="20% - akcent 3 3 3 2 2 7 2" xfId="4807"/>
    <cellStyle name="20% - akcent 3 3 3 2 2 8" xfId="4808"/>
    <cellStyle name="20% - akcent 3 3 3 2 3" xfId="4809"/>
    <cellStyle name="20% - akcent 3 3 3 2 3 2" xfId="4810"/>
    <cellStyle name="20% - akcent 3 3 3 2 3 2 2" xfId="4811"/>
    <cellStyle name="20% - akcent 3 3 3 2 3 2 2 2" xfId="4812"/>
    <cellStyle name="20% - akcent 3 3 3 2 3 2 2 2 2" xfId="4813"/>
    <cellStyle name="20% - akcent 3 3 3 2 3 2 2 3" xfId="4814"/>
    <cellStyle name="20% - akcent 3 3 3 2 3 2 2 3 2" xfId="4815"/>
    <cellStyle name="20% - akcent 3 3 3 2 3 2 2 4" xfId="4816"/>
    <cellStyle name="20% - akcent 3 3 3 2 3 2 3" xfId="4817"/>
    <cellStyle name="20% - akcent 3 3 3 2 3 2 3 2" xfId="4818"/>
    <cellStyle name="20% - akcent 3 3 3 2 3 2 4" xfId="4819"/>
    <cellStyle name="20% - akcent 3 3 3 2 3 2 4 2" xfId="4820"/>
    <cellStyle name="20% - akcent 3 3 3 2 3 2 5" xfId="4821"/>
    <cellStyle name="20% - akcent 3 3 3 2 3 3" xfId="4822"/>
    <cellStyle name="20% - akcent 3 3 3 2 3 3 2" xfId="4823"/>
    <cellStyle name="20% - akcent 3 3 3 2 3 3 2 2" xfId="4824"/>
    <cellStyle name="20% - akcent 3 3 3 2 3 3 2 2 2" xfId="4825"/>
    <cellStyle name="20% - akcent 3 3 3 2 3 3 2 3" xfId="4826"/>
    <cellStyle name="20% - akcent 3 3 3 2 3 3 2 3 2" xfId="4827"/>
    <cellStyle name="20% - akcent 3 3 3 2 3 3 2 4" xfId="4828"/>
    <cellStyle name="20% - akcent 3 3 3 2 3 3 3" xfId="4829"/>
    <cellStyle name="20% - akcent 3 3 3 2 3 3 3 2" xfId="4830"/>
    <cellStyle name="20% - akcent 3 3 3 2 3 3 4" xfId="4831"/>
    <cellStyle name="20% - akcent 3 3 3 2 3 3 4 2" xfId="4832"/>
    <cellStyle name="20% - akcent 3 3 3 2 3 3 5" xfId="4833"/>
    <cellStyle name="20% - akcent 3 3 3 2 3 4" xfId="4834"/>
    <cellStyle name="20% - akcent 3 3 3 2 3 4 2" xfId="4835"/>
    <cellStyle name="20% - akcent 3 3 3 2 3 4 2 2" xfId="4836"/>
    <cellStyle name="20% - akcent 3 3 3 2 3 4 2 2 2" xfId="4837"/>
    <cellStyle name="20% - akcent 3 3 3 2 3 4 2 3" xfId="4838"/>
    <cellStyle name="20% - akcent 3 3 3 2 3 4 2 3 2" xfId="4839"/>
    <cellStyle name="20% - akcent 3 3 3 2 3 4 2 4" xfId="4840"/>
    <cellStyle name="20% - akcent 3 3 3 2 3 4 3" xfId="4841"/>
    <cellStyle name="20% - akcent 3 3 3 2 3 4 3 2" xfId="4842"/>
    <cellStyle name="20% - akcent 3 3 3 2 3 4 4" xfId="4843"/>
    <cellStyle name="20% - akcent 3 3 3 2 3 4 4 2" xfId="4844"/>
    <cellStyle name="20% - akcent 3 3 3 2 3 4 5" xfId="4845"/>
    <cellStyle name="20% - akcent 3 3 3 2 3 5" xfId="4846"/>
    <cellStyle name="20% - akcent 3 3 3 2 3 5 2" xfId="4847"/>
    <cellStyle name="20% - akcent 3 3 3 2 3 5 2 2" xfId="4848"/>
    <cellStyle name="20% - akcent 3 3 3 2 3 5 3" xfId="4849"/>
    <cellStyle name="20% - akcent 3 3 3 2 3 5 3 2" xfId="4850"/>
    <cellStyle name="20% - akcent 3 3 3 2 3 5 4" xfId="4851"/>
    <cellStyle name="20% - akcent 3 3 3 2 3 6" xfId="4852"/>
    <cellStyle name="20% - akcent 3 3 3 2 3 6 2" xfId="4853"/>
    <cellStyle name="20% - akcent 3 3 3 2 3 7" xfId="4854"/>
    <cellStyle name="20% - akcent 3 3 3 2 3 7 2" xfId="4855"/>
    <cellStyle name="20% - akcent 3 3 3 2 3 8" xfId="4856"/>
    <cellStyle name="20% - akcent 3 3 3 2 4" xfId="4857"/>
    <cellStyle name="20% - akcent 3 3 3 2 4 2" xfId="4858"/>
    <cellStyle name="20% - akcent 3 3 3 2 4 2 2" xfId="4859"/>
    <cellStyle name="20% - akcent 3 3 3 2 4 2 2 2" xfId="4860"/>
    <cellStyle name="20% - akcent 3 3 3 2 4 2 2 2 2" xfId="4861"/>
    <cellStyle name="20% - akcent 3 3 3 2 4 2 2 3" xfId="4862"/>
    <cellStyle name="20% - akcent 3 3 3 2 4 2 2 3 2" xfId="4863"/>
    <cellStyle name="20% - akcent 3 3 3 2 4 2 2 4" xfId="4864"/>
    <cellStyle name="20% - akcent 3 3 3 2 4 2 3" xfId="4865"/>
    <cellStyle name="20% - akcent 3 3 3 2 4 2 3 2" xfId="4866"/>
    <cellStyle name="20% - akcent 3 3 3 2 4 2 4" xfId="4867"/>
    <cellStyle name="20% - akcent 3 3 3 2 4 2 4 2" xfId="4868"/>
    <cellStyle name="20% - akcent 3 3 3 2 4 2 5" xfId="4869"/>
    <cellStyle name="20% - akcent 3 3 3 2 4 3" xfId="4870"/>
    <cellStyle name="20% - akcent 3 3 3 2 4 3 2" xfId="4871"/>
    <cellStyle name="20% - akcent 3 3 3 2 4 3 2 2" xfId="4872"/>
    <cellStyle name="20% - akcent 3 3 3 2 4 3 3" xfId="4873"/>
    <cellStyle name="20% - akcent 3 3 3 2 4 3 3 2" xfId="4874"/>
    <cellStyle name="20% - akcent 3 3 3 2 4 3 4" xfId="4875"/>
    <cellStyle name="20% - akcent 3 3 3 2 4 4" xfId="4876"/>
    <cellStyle name="20% - akcent 3 3 3 2 4 4 2" xfId="4877"/>
    <cellStyle name="20% - akcent 3 3 3 2 4 5" xfId="4878"/>
    <cellStyle name="20% - akcent 3 3 3 2 4 5 2" xfId="4879"/>
    <cellStyle name="20% - akcent 3 3 3 2 4 6" xfId="4880"/>
    <cellStyle name="20% - akcent 3 3 3 2 5" xfId="4881"/>
    <cellStyle name="20% - akcent 3 3 3 2 5 2" xfId="4882"/>
    <cellStyle name="20% - akcent 3 3 3 2 5 2 2" xfId="4883"/>
    <cellStyle name="20% - akcent 3 3 3 2 5 2 2 2" xfId="4884"/>
    <cellStyle name="20% - akcent 3 3 3 2 5 2 3" xfId="4885"/>
    <cellStyle name="20% - akcent 3 3 3 2 5 2 3 2" xfId="4886"/>
    <cellStyle name="20% - akcent 3 3 3 2 5 2 4" xfId="4887"/>
    <cellStyle name="20% - akcent 3 3 3 2 5 3" xfId="4888"/>
    <cellStyle name="20% - akcent 3 3 3 2 5 3 2" xfId="4889"/>
    <cellStyle name="20% - akcent 3 3 3 2 5 4" xfId="4890"/>
    <cellStyle name="20% - akcent 3 3 3 2 5 4 2" xfId="4891"/>
    <cellStyle name="20% - akcent 3 3 3 2 5 5" xfId="4892"/>
    <cellStyle name="20% - akcent 3 3 3 2 6" xfId="4893"/>
    <cellStyle name="20% - akcent 3 3 3 2 6 2" xfId="4894"/>
    <cellStyle name="20% - akcent 3 3 3 2 6 2 2" xfId="4895"/>
    <cellStyle name="20% - akcent 3 3 3 2 6 2 2 2" xfId="4896"/>
    <cellStyle name="20% - akcent 3 3 3 2 6 2 3" xfId="4897"/>
    <cellStyle name="20% - akcent 3 3 3 2 6 2 3 2" xfId="4898"/>
    <cellStyle name="20% - akcent 3 3 3 2 6 2 4" xfId="4899"/>
    <cellStyle name="20% - akcent 3 3 3 2 6 3" xfId="4900"/>
    <cellStyle name="20% - akcent 3 3 3 2 6 3 2" xfId="4901"/>
    <cellStyle name="20% - akcent 3 3 3 2 6 4" xfId="4902"/>
    <cellStyle name="20% - akcent 3 3 3 2 6 4 2" xfId="4903"/>
    <cellStyle name="20% - akcent 3 3 3 2 6 5" xfId="4904"/>
    <cellStyle name="20% - akcent 3 3 3 2 7" xfId="4905"/>
    <cellStyle name="20% - akcent 3 3 3 2 7 2" xfId="4906"/>
    <cellStyle name="20% - akcent 3 3 3 2 7 2 2" xfId="4907"/>
    <cellStyle name="20% - akcent 3 3 3 2 7 2 2 2" xfId="4908"/>
    <cellStyle name="20% - akcent 3 3 3 2 7 2 3" xfId="4909"/>
    <cellStyle name="20% - akcent 3 3 3 2 7 2 3 2" xfId="4910"/>
    <cellStyle name="20% - akcent 3 3 3 2 7 2 4" xfId="4911"/>
    <cellStyle name="20% - akcent 3 3 3 2 7 3" xfId="4912"/>
    <cellStyle name="20% - akcent 3 3 3 2 7 3 2" xfId="4913"/>
    <cellStyle name="20% - akcent 3 3 3 2 7 4" xfId="4914"/>
    <cellStyle name="20% - akcent 3 3 3 2 7 4 2" xfId="4915"/>
    <cellStyle name="20% - akcent 3 3 3 2 7 5" xfId="4916"/>
    <cellStyle name="20% - akcent 3 3 3 2 8" xfId="4917"/>
    <cellStyle name="20% - akcent 3 3 3 2 8 2" xfId="4918"/>
    <cellStyle name="20% - akcent 3 3 3 2 8 2 2" xfId="4919"/>
    <cellStyle name="20% - akcent 3 3 3 2 8 3" xfId="4920"/>
    <cellStyle name="20% - akcent 3 3 3 2 8 3 2" xfId="4921"/>
    <cellStyle name="20% - akcent 3 3 3 2 8 4" xfId="4922"/>
    <cellStyle name="20% - akcent 3 3 3 2 9" xfId="4923"/>
    <cellStyle name="20% - akcent 3 3 3 2 9 2" xfId="4924"/>
    <cellStyle name="20% - akcent 3 3 3 3" xfId="4925"/>
    <cellStyle name="20% - akcent 3 3 3 3 2" xfId="4926"/>
    <cellStyle name="20% - akcent 3 3 3 3 2 2" xfId="4927"/>
    <cellStyle name="20% - akcent 3 3 3 3 2 2 2" xfId="4928"/>
    <cellStyle name="20% - akcent 3 3 3 3 2 2 2 2" xfId="4929"/>
    <cellStyle name="20% - akcent 3 3 3 3 2 2 3" xfId="4930"/>
    <cellStyle name="20% - akcent 3 3 3 3 2 2 3 2" xfId="4931"/>
    <cellStyle name="20% - akcent 3 3 3 3 2 2 4" xfId="4932"/>
    <cellStyle name="20% - akcent 3 3 3 3 2 3" xfId="4933"/>
    <cellStyle name="20% - akcent 3 3 3 3 2 3 2" xfId="4934"/>
    <cellStyle name="20% - akcent 3 3 3 3 2 4" xfId="4935"/>
    <cellStyle name="20% - akcent 3 3 3 3 2 4 2" xfId="4936"/>
    <cellStyle name="20% - akcent 3 3 3 3 2 5" xfId="4937"/>
    <cellStyle name="20% - akcent 3 3 3 3 3" xfId="4938"/>
    <cellStyle name="20% - akcent 3 3 3 3 3 2" xfId="4939"/>
    <cellStyle name="20% - akcent 3 3 3 3 3 2 2" xfId="4940"/>
    <cellStyle name="20% - akcent 3 3 3 3 3 2 2 2" xfId="4941"/>
    <cellStyle name="20% - akcent 3 3 3 3 3 2 3" xfId="4942"/>
    <cellStyle name="20% - akcent 3 3 3 3 3 2 3 2" xfId="4943"/>
    <cellStyle name="20% - akcent 3 3 3 3 3 2 4" xfId="4944"/>
    <cellStyle name="20% - akcent 3 3 3 3 3 3" xfId="4945"/>
    <cellStyle name="20% - akcent 3 3 3 3 3 3 2" xfId="4946"/>
    <cellStyle name="20% - akcent 3 3 3 3 3 4" xfId="4947"/>
    <cellStyle name="20% - akcent 3 3 3 3 3 4 2" xfId="4948"/>
    <cellStyle name="20% - akcent 3 3 3 3 3 5" xfId="4949"/>
    <cellStyle name="20% - akcent 3 3 3 3 4" xfId="4950"/>
    <cellStyle name="20% - akcent 3 3 3 3 4 2" xfId="4951"/>
    <cellStyle name="20% - akcent 3 3 3 3 4 2 2" xfId="4952"/>
    <cellStyle name="20% - akcent 3 3 3 3 4 2 2 2" xfId="4953"/>
    <cellStyle name="20% - akcent 3 3 3 3 4 2 3" xfId="4954"/>
    <cellStyle name="20% - akcent 3 3 3 3 4 2 3 2" xfId="4955"/>
    <cellStyle name="20% - akcent 3 3 3 3 4 2 4" xfId="4956"/>
    <cellStyle name="20% - akcent 3 3 3 3 4 3" xfId="4957"/>
    <cellStyle name="20% - akcent 3 3 3 3 4 3 2" xfId="4958"/>
    <cellStyle name="20% - akcent 3 3 3 3 4 4" xfId="4959"/>
    <cellStyle name="20% - akcent 3 3 3 3 4 4 2" xfId="4960"/>
    <cellStyle name="20% - akcent 3 3 3 3 4 5" xfId="4961"/>
    <cellStyle name="20% - akcent 3 3 3 3 5" xfId="4962"/>
    <cellStyle name="20% - akcent 3 3 3 3 5 2" xfId="4963"/>
    <cellStyle name="20% - akcent 3 3 3 3 5 2 2" xfId="4964"/>
    <cellStyle name="20% - akcent 3 3 3 3 5 3" xfId="4965"/>
    <cellStyle name="20% - akcent 3 3 3 3 5 3 2" xfId="4966"/>
    <cellStyle name="20% - akcent 3 3 3 3 5 4" xfId="4967"/>
    <cellStyle name="20% - akcent 3 3 3 3 6" xfId="4968"/>
    <cellStyle name="20% - akcent 3 3 3 3 6 2" xfId="4969"/>
    <cellStyle name="20% - akcent 3 3 3 3 7" xfId="4970"/>
    <cellStyle name="20% - akcent 3 3 3 3 7 2" xfId="4971"/>
    <cellStyle name="20% - akcent 3 3 3 3 8" xfId="4972"/>
    <cellStyle name="20% - akcent 3 3 3 4" xfId="4973"/>
    <cellStyle name="20% - akcent 3 3 3 4 2" xfId="4974"/>
    <cellStyle name="20% - akcent 3 3 3 4 2 2" xfId="4975"/>
    <cellStyle name="20% - akcent 3 3 3 4 2 2 2" xfId="4976"/>
    <cellStyle name="20% - akcent 3 3 3 4 2 2 2 2" xfId="4977"/>
    <cellStyle name="20% - akcent 3 3 3 4 2 2 3" xfId="4978"/>
    <cellStyle name="20% - akcent 3 3 3 4 2 2 3 2" xfId="4979"/>
    <cellStyle name="20% - akcent 3 3 3 4 2 2 4" xfId="4980"/>
    <cellStyle name="20% - akcent 3 3 3 4 2 3" xfId="4981"/>
    <cellStyle name="20% - akcent 3 3 3 4 2 3 2" xfId="4982"/>
    <cellStyle name="20% - akcent 3 3 3 4 2 4" xfId="4983"/>
    <cellStyle name="20% - akcent 3 3 3 4 2 4 2" xfId="4984"/>
    <cellStyle name="20% - akcent 3 3 3 4 2 5" xfId="4985"/>
    <cellStyle name="20% - akcent 3 3 3 4 3" xfId="4986"/>
    <cellStyle name="20% - akcent 3 3 3 4 3 2" xfId="4987"/>
    <cellStyle name="20% - akcent 3 3 3 4 3 2 2" xfId="4988"/>
    <cellStyle name="20% - akcent 3 3 3 4 3 2 2 2" xfId="4989"/>
    <cellStyle name="20% - akcent 3 3 3 4 3 2 3" xfId="4990"/>
    <cellStyle name="20% - akcent 3 3 3 4 3 2 3 2" xfId="4991"/>
    <cellStyle name="20% - akcent 3 3 3 4 3 2 4" xfId="4992"/>
    <cellStyle name="20% - akcent 3 3 3 4 3 3" xfId="4993"/>
    <cellStyle name="20% - akcent 3 3 3 4 3 3 2" xfId="4994"/>
    <cellStyle name="20% - akcent 3 3 3 4 3 4" xfId="4995"/>
    <cellStyle name="20% - akcent 3 3 3 4 3 4 2" xfId="4996"/>
    <cellStyle name="20% - akcent 3 3 3 4 3 5" xfId="4997"/>
    <cellStyle name="20% - akcent 3 3 3 4 4" xfId="4998"/>
    <cellStyle name="20% - akcent 3 3 3 4 4 2" xfId="4999"/>
    <cellStyle name="20% - akcent 3 3 3 4 4 2 2" xfId="5000"/>
    <cellStyle name="20% - akcent 3 3 3 4 4 2 2 2" xfId="5001"/>
    <cellStyle name="20% - akcent 3 3 3 4 4 2 3" xfId="5002"/>
    <cellStyle name="20% - akcent 3 3 3 4 4 2 3 2" xfId="5003"/>
    <cellStyle name="20% - akcent 3 3 3 4 4 2 4" xfId="5004"/>
    <cellStyle name="20% - akcent 3 3 3 4 4 3" xfId="5005"/>
    <cellStyle name="20% - akcent 3 3 3 4 4 3 2" xfId="5006"/>
    <cellStyle name="20% - akcent 3 3 3 4 4 4" xfId="5007"/>
    <cellStyle name="20% - akcent 3 3 3 4 4 4 2" xfId="5008"/>
    <cellStyle name="20% - akcent 3 3 3 4 4 5" xfId="5009"/>
    <cellStyle name="20% - akcent 3 3 3 4 5" xfId="5010"/>
    <cellStyle name="20% - akcent 3 3 3 4 5 2" xfId="5011"/>
    <cellStyle name="20% - akcent 3 3 3 4 5 2 2" xfId="5012"/>
    <cellStyle name="20% - akcent 3 3 3 4 5 3" xfId="5013"/>
    <cellStyle name="20% - akcent 3 3 3 4 5 3 2" xfId="5014"/>
    <cellStyle name="20% - akcent 3 3 3 4 5 4" xfId="5015"/>
    <cellStyle name="20% - akcent 3 3 3 4 6" xfId="5016"/>
    <cellStyle name="20% - akcent 3 3 3 4 6 2" xfId="5017"/>
    <cellStyle name="20% - akcent 3 3 3 4 7" xfId="5018"/>
    <cellStyle name="20% - akcent 3 3 3 4 7 2" xfId="5019"/>
    <cellStyle name="20% - akcent 3 3 3 4 8" xfId="5020"/>
    <cellStyle name="20% - akcent 3 3 3 5" xfId="5021"/>
    <cellStyle name="20% - akcent 3 3 3 5 2" xfId="5022"/>
    <cellStyle name="20% - akcent 3 3 3 5 2 2" xfId="5023"/>
    <cellStyle name="20% - akcent 3 3 3 5 2 2 2" xfId="5024"/>
    <cellStyle name="20% - akcent 3 3 3 5 2 2 2 2" xfId="5025"/>
    <cellStyle name="20% - akcent 3 3 3 5 2 2 3" xfId="5026"/>
    <cellStyle name="20% - akcent 3 3 3 5 2 2 3 2" xfId="5027"/>
    <cellStyle name="20% - akcent 3 3 3 5 2 2 4" xfId="5028"/>
    <cellStyle name="20% - akcent 3 3 3 5 2 3" xfId="5029"/>
    <cellStyle name="20% - akcent 3 3 3 5 2 3 2" xfId="5030"/>
    <cellStyle name="20% - akcent 3 3 3 5 2 4" xfId="5031"/>
    <cellStyle name="20% - akcent 3 3 3 5 2 4 2" xfId="5032"/>
    <cellStyle name="20% - akcent 3 3 3 5 2 5" xfId="5033"/>
    <cellStyle name="20% - akcent 3 3 3 5 3" xfId="5034"/>
    <cellStyle name="20% - akcent 3 3 3 5 3 2" xfId="5035"/>
    <cellStyle name="20% - akcent 3 3 3 5 3 2 2" xfId="5036"/>
    <cellStyle name="20% - akcent 3 3 3 5 3 3" xfId="5037"/>
    <cellStyle name="20% - akcent 3 3 3 5 3 3 2" xfId="5038"/>
    <cellStyle name="20% - akcent 3 3 3 5 3 4" xfId="5039"/>
    <cellStyle name="20% - akcent 3 3 3 5 4" xfId="5040"/>
    <cellStyle name="20% - akcent 3 3 3 5 4 2" xfId="5041"/>
    <cellStyle name="20% - akcent 3 3 3 5 5" xfId="5042"/>
    <cellStyle name="20% - akcent 3 3 3 5 5 2" xfId="5043"/>
    <cellStyle name="20% - akcent 3 3 3 5 6" xfId="5044"/>
    <cellStyle name="20% - akcent 3 3 3 6" xfId="5045"/>
    <cellStyle name="20% - akcent 3 3 3 6 2" xfId="5046"/>
    <cellStyle name="20% - akcent 3 3 3 6 2 2" xfId="5047"/>
    <cellStyle name="20% - akcent 3 3 3 6 2 2 2" xfId="5048"/>
    <cellStyle name="20% - akcent 3 3 3 6 2 3" xfId="5049"/>
    <cellStyle name="20% - akcent 3 3 3 6 2 3 2" xfId="5050"/>
    <cellStyle name="20% - akcent 3 3 3 6 2 4" xfId="5051"/>
    <cellStyle name="20% - akcent 3 3 3 6 3" xfId="5052"/>
    <cellStyle name="20% - akcent 3 3 3 6 3 2" xfId="5053"/>
    <cellStyle name="20% - akcent 3 3 3 6 4" xfId="5054"/>
    <cellStyle name="20% - akcent 3 3 3 6 4 2" xfId="5055"/>
    <cellStyle name="20% - akcent 3 3 3 6 5" xfId="5056"/>
    <cellStyle name="20% - akcent 3 3 3 7" xfId="5057"/>
    <cellStyle name="20% - akcent 3 3 3 7 2" xfId="5058"/>
    <cellStyle name="20% - akcent 3 3 3 7 2 2" xfId="5059"/>
    <cellStyle name="20% - akcent 3 3 3 7 2 2 2" xfId="5060"/>
    <cellStyle name="20% - akcent 3 3 3 7 2 3" xfId="5061"/>
    <cellStyle name="20% - akcent 3 3 3 7 2 3 2" xfId="5062"/>
    <cellStyle name="20% - akcent 3 3 3 7 2 4" xfId="5063"/>
    <cellStyle name="20% - akcent 3 3 3 7 3" xfId="5064"/>
    <cellStyle name="20% - akcent 3 3 3 7 3 2" xfId="5065"/>
    <cellStyle name="20% - akcent 3 3 3 7 4" xfId="5066"/>
    <cellStyle name="20% - akcent 3 3 3 7 4 2" xfId="5067"/>
    <cellStyle name="20% - akcent 3 3 3 7 5" xfId="5068"/>
    <cellStyle name="20% - akcent 3 3 3 8" xfId="5069"/>
    <cellStyle name="20% - akcent 3 3 3 8 2" xfId="5070"/>
    <cellStyle name="20% - akcent 3 3 3 8 2 2" xfId="5071"/>
    <cellStyle name="20% - akcent 3 3 3 8 2 2 2" xfId="5072"/>
    <cellStyle name="20% - akcent 3 3 3 8 2 3" xfId="5073"/>
    <cellStyle name="20% - akcent 3 3 3 8 2 3 2" xfId="5074"/>
    <cellStyle name="20% - akcent 3 3 3 8 2 4" xfId="5075"/>
    <cellStyle name="20% - akcent 3 3 3 8 3" xfId="5076"/>
    <cellStyle name="20% - akcent 3 3 3 8 3 2" xfId="5077"/>
    <cellStyle name="20% - akcent 3 3 3 8 4" xfId="5078"/>
    <cellStyle name="20% - akcent 3 3 3 8 4 2" xfId="5079"/>
    <cellStyle name="20% - akcent 3 3 3 8 5" xfId="5080"/>
    <cellStyle name="20% - akcent 3 3 3 9" xfId="5081"/>
    <cellStyle name="20% - akcent 3 3 3 9 2" xfId="5082"/>
    <cellStyle name="20% - akcent 3 3 3 9 2 2" xfId="5083"/>
    <cellStyle name="20% - akcent 3 3 3 9 3" xfId="5084"/>
    <cellStyle name="20% - akcent 3 3 3 9 3 2" xfId="5085"/>
    <cellStyle name="20% - akcent 3 3 3 9 4" xfId="5086"/>
    <cellStyle name="20% - akcent 3 3 4" xfId="5087"/>
    <cellStyle name="20% - akcent 3 3 4 10" xfId="5088"/>
    <cellStyle name="20% - akcent 3 3 4 10 2" xfId="5089"/>
    <cellStyle name="20% - akcent 3 3 4 11" xfId="5090"/>
    <cellStyle name="20% - akcent 3 3 4 2" xfId="5091"/>
    <cellStyle name="20% - akcent 3 3 4 2 2" xfId="5092"/>
    <cellStyle name="20% - akcent 3 3 4 2 2 2" xfId="5093"/>
    <cellStyle name="20% - akcent 3 3 4 2 2 2 2" xfId="5094"/>
    <cellStyle name="20% - akcent 3 3 4 2 2 2 2 2" xfId="5095"/>
    <cellStyle name="20% - akcent 3 3 4 2 2 2 3" xfId="5096"/>
    <cellStyle name="20% - akcent 3 3 4 2 2 2 3 2" xfId="5097"/>
    <cellStyle name="20% - akcent 3 3 4 2 2 2 4" xfId="5098"/>
    <cellStyle name="20% - akcent 3 3 4 2 2 3" xfId="5099"/>
    <cellStyle name="20% - akcent 3 3 4 2 2 3 2" xfId="5100"/>
    <cellStyle name="20% - akcent 3 3 4 2 2 4" xfId="5101"/>
    <cellStyle name="20% - akcent 3 3 4 2 2 4 2" xfId="5102"/>
    <cellStyle name="20% - akcent 3 3 4 2 2 5" xfId="5103"/>
    <cellStyle name="20% - akcent 3 3 4 2 3" xfId="5104"/>
    <cellStyle name="20% - akcent 3 3 4 2 3 2" xfId="5105"/>
    <cellStyle name="20% - akcent 3 3 4 2 3 2 2" xfId="5106"/>
    <cellStyle name="20% - akcent 3 3 4 2 3 2 2 2" xfId="5107"/>
    <cellStyle name="20% - akcent 3 3 4 2 3 2 3" xfId="5108"/>
    <cellStyle name="20% - akcent 3 3 4 2 3 2 3 2" xfId="5109"/>
    <cellStyle name="20% - akcent 3 3 4 2 3 2 4" xfId="5110"/>
    <cellStyle name="20% - akcent 3 3 4 2 3 3" xfId="5111"/>
    <cellStyle name="20% - akcent 3 3 4 2 3 3 2" xfId="5112"/>
    <cellStyle name="20% - akcent 3 3 4 2 3 4" xfId="5113"/>
    <cellStyle name="20% - akcent 3 3 4 2 3 4 2" xfId="5114"/>
    <cellStyle name="20% - akcent 3 3 4 2 3 5" xfId="5115"/>
    <cellStyle name="20% - akcent 3 3 4 2 4" xfId="5116"/>
    <cellStyle name="20% - akcent 3 3 4 2 4 2" xfId="5117"/>
    <cellStyle name="20% - akcent 3 3 4 2 4 2 2" xfId="5118"/>
    <cellStyle name="20% - akcent 3 3 4 2 4 2 2 2" xfId="5119"/>
    <cellStyle name="20% - akcent 3 3 4 2 4 2 3" xfId="5120"/>
    <cellStyle name="20% - akcent 3 3 4 2 4 2 3 2" xfId="5121"/>
    <cellStyle name="20% - akcent 3 3 4 2 4 2 4" xfId="5122"/>
    <cellStyle name="20% - akcent 3 3 4 2 4 3" xfId="5123"/>
    <cellStyle name="20% - akcent 3 3 4 2 4 3 2" xfId="5124"/>
    <cellStyle name="20% - akcent 3 3 4 2 4 4" xfId="5125"/>
    <cellStyle name="20% - akcent 3 3 4 2 4 4 2" xfId="5126"/>
    <cellStyle name="20% - akcent 3 3 4 2 4 5" xfId="5127"/>
    <cellStyle name="20% - akcent 3 3 4 2 5" xfId="5128"/>
    <cellStyle name="20% - akcent 3 3 4 2 5 2" xfId="5129"/>
    <cellStyle name="20% - akcent 3 3 4 2 5 2 2" xfId="5130"/>
    <cellStyle name="20% - akcent 3 3 4 2 5 3" xfId="5131"/>
    <cellStyle name="20% - akcent 3 3 4 2 5 3 2" xfId="5132"/>
    <cellStyle name="20% - akcent 3 3 4 2 5 4" xfId="5133"/>
    <cellStyle name="20% - akcent 3 3 4 2 6" xfId="5134"/>
    <cellStyle name="20% - akcent 3 3 4 2 6 2" xfId="5135"/>
    <cellStyle name="20% - akcent 3 3 4 2 7" xfId="5136"/>
    <cellStyle name="20% - akcent 3 3 4 2 7 2" xfId="5137"/>
    <cellStyle name="20% - akcent 3 3 4 2 8" xfId="5138"/>
    <cellStyle name="20% - akcent 3 3 4 3" xfId="5139"/>
    <cellStyle name="20% - akcent 3 3 4 3 2" xfId="5140"/>
    <cellStyle name="20% - akcent 3 3 4 3 2 2" xfId="5141"/>
    <cellStyle name="20% - akcent 3 3 4 3 2 2 2" xfId="5142"/>
    <cellStyle name="20% - akcent 3 3 4 3 2 2 2 2" xfId="5143"/>
    <cellStyle name="20% - akcent 3 3 4 3 2 2 3" xfId="5144"/>
    <cellStyle name="20% - akcent 3 3 4 3 2 2 3 2" xfId="5145"/>
    <cellStyle name="20% - akcent 3 3 4 3 2 2 4" xfId="5146"/>
    <cellStyle name="20% - akcent 3 3 4 3 2 3" xfId="5147"/>
    <cellStyle name="20% - akcent 3 3 4 3 2 3 2" xfId="5148"/>
    <cellStyle name="20% - akcent 3 3 4 3 2 4" xfId="5149"/>
    <cellStyle name="20% - akcent 3 3 4 3 2 4 2" xfId="5150"/>
    <cellStyle name="20% - akcent 3 3 4 3 2 5" xfId="5151"/>
    <cellStyle name="20% - akcent 3 3 4 3 3" xfId="5152"/>
    <cellStyle name="20% - akcent 3 3 4 3 3 2" xfId="5153"/>
    <cellStyle name="20% - akcent 3 3 4 3 3 2 2" xfId="5154"/>
    <cellStyle name="20% - akcent 3 3 4 3 3 2 2 2" xfId="5155"/>
    <cellStyle name="20% - akcent 3 3 4 3 3 2 3" xfId="5156"/>
    <cellStyle name="20% - akcent 3 3 4 3 3 2 3 2" xfId="5157"/>
    <cellStyle name="20% - akcent 3 3 4 3 3 2 4" xfId="5158"/>
    <cellStyle name="20% - akcent 3 3 4 3 3 3" xfId="5159"/>
    <cellStyle name="20% - akcent 3 3 4 3 3 3 2" xfId="5160"/>
    <cellStyle name="20% - akcent 3 3 4 3 3 4" xfId="5161"/>
    <cellStyle name="20% - akcent 3 3 4 3 3 4 2" xfId="5162"/>
    <cellStyle name="20% - akcent 3 3 4 3 3 5" xfId="5163"/>
    <cellStyle name="20% - akcent 3 3 4 3 4" xfId="5164"/>
    <cellStyle name="20% - akcent 3 3 4 3 4 2" xfId="5165"/>
    <cellStyle name="20% - akcent 3 3 4 3 4 2 2" xfId="5166"/>
    <cellStyle name="20% - akcent 3 3 4 3 4 2 2 2" xfId="5167"/>
    <cellStyle name="20% - akcent 3 3 4 3 4 2 3" xfId="5168"/>
    <cellStyle name="20% - akcent 3 3 4 3 4 2 3 2" xfId="5169"/>
    <cellStyle name="20% - akcent 3 3 4 3 4 2 4" xfId="5170"/>
    <cellStyle name="20% - akcent 3 3 4 3 4 3" xfId="5171"/>
    <cellStyle name="20% - akcent 3 3 4 3 4 3 2" xfId="5172"/>
    <cellStyle name="20% - akcent 3 3 4 3 4 4" xfId="5173"/>
    <cellStyle name="20% - akcent 3 3 4 3 4 4 2" xfId="5174"/>
    <cellStyle name="20% - akcent 3 3 4 3 4 5" xfId="5175"/>
    <cellStyle name="20% - akcent 3 3 4 3 5" xfId="5176"/>
    <cellStyle name="20% - akcent 3 3 4 3 5 2" xfId="5177"/>
    <cellStyle name="20% - akcent 3 3 4 3 5 2 2" xfId="5178"/>
    <cellStyle name="20% - akcent 3 3 4 3 5 3" xfId="5179"/>
    <cellStyle name="20% - akcent 3 3 4 3 5 3 2" xfId="5180"/>
    <cellStyle name="20% - akcent 3 3 4 3 5 4" xfId="5181"/>
    <cellStyle name="20% - akcent 3 3 4 3 6" xfId="5182"/>
    <cellStyle name="20% - akcent 3 3 4 3 6 2" xfId="5183"/>
    <cellStyle name="20% - akcent 3 3 4 3 7" xfId="5184"/>
    <cellStyle name="20% - akcent 3 3 4 3 7 2" xfId="5185"/>
    <cellStyle name="20% - akcent 3 3 4 3 8" xfId="5186"/>
    <cellStyle name="20% - akcent 3 3 4 4" xfId="5187"/>
    <cellStyle name="20% - akcent 3 3 4 4 2" xfId="5188"/>
    <cellStyle name="20% - akcent 3 3 4 4 2 2" xfId="5189"/>
    <cellStyle name="20% - akcent 3 3 4 4 2 2 2" xfId="5190"/>
    <cellStyle name="20% - akcent 3 3 4 4 2 2 2 2" xfId="5191"/>
    <cellStyle name="20% - akcent 3 3 4 4 2 2 3" xfId="5192"/>
    <cellStyle name="20% - akcent 3 3 4 4 2 2 3 2" xfId="5193"/>
    <cellStyle name="20% - akcent 3 3 4 4 2 2 4" xfId="5194"/>
    <cellStyle name="20% - akcent 3 3 4 4 2 3" xfId="5195"/>
    <cellStyle name="20% - akcent 3 3 4 4 2 3 2" xfId="5196"/>
    <cellStyle name="20% - akcent 3 3 4 4 2 4" xfId="5197"/>
    <cellStyle name="20% - akcent 3 3 4 4 2 4 2" xfId="5198"/>
    <cellStyle name="20% - akcent 3 3 4 4 2 5" xfId="5199"/>
    <cellStyle name="20% - akcent 3 3 4 4 3" xfId="5200"/>
    <cellStyle name="20% - akcent 3 3 4 4 3 2" xfId="5201"/>
    <cellStyle name="20% - akcent 3 3 4 4 3 2 2" xfId="5202"/>
    <cellStyle name="20% - akcent 3 3 4 4 3 3" xfId="5203"/>
    <cellStyle name="20% - akcent 3 3 4 4 3 3 2" xfId="5204"/>
    <cellStyle name="20% - akcent 3 3 4 4 3 4" xfId="5205"/>
    <cellStyle name="20% - akcent 3 3 4 4 4" xfId="5206"/>
    <cellStyle name="20% - akcent 3 3 4 4 4 2" xfId="5207"/>
    <cellStyle name="20% - akcent 3 3 4 4 5" xfId="5208"/>
    <cellStyle name="20% - akcent 3 3 4 4 5 2" xfId="5209"/>
    <cellStyle name="20% - akcent 3 3 4 4 6" xfId="5210"/>
    <cellStyle name="20% - akcent 3 3 4 5" xfId="5211"/>
    <cellStyle name="20% - akcent 3 3 4 5 2" xfId="5212"/>
    <cellStyle name="20% - akcent 3 3 4 5 2 2" xfId="5213"/>
    <cellStyle name="20% - akcent 3 3 4 5 2 2 2" xfId="5214"/>
    <cellStyle name="20% - akcent 3 3 4 5 2 3" xfId="5215"/>
    <cellStyle name="20% - akcent 3 3 4 5 2 3 2" xfId="5216"/>
    <cellStyle name="20% - akcent 3 3 4 5 2 4" xfId="5217"/>
    <cellStyle name="20% - akcent 3 3 4 5 3" xfId="5218"/>
    <cellStyle name="20% - akcent 3 3 4 5 3 2" xfId="5219"/>
    <cellStyle name="20% - akcent 3 3 4 5 4" xfId="5220"/>
    <cellStyle name="20% - akcent 3 3 4 5 4 2" xfId="5221"/>
    <cellStyle name="20% - akcent 3 3 4 5 5" xfId="5222"/>
    <cellStyle name="20% - akcent 3 3 4 6" xfId="5223"/>
    <cellStyle name="20% - akcent 3 3 4 6 2" xfId="5224"/>
    <cellStyle name="20% - akcent 3 3 4 6 2 2" xfId="5225"/>
    <cellStyle name="20% - akcent 3 3 4 6 2 2 2" xfId="5226"/>
    <cellStyle name="20% - akcent 3 3 4 6 2 3" xfId="5227"/>
    <cellStyle name="20% - akcent 3 3 4 6 2 3 2" xfId="5228"/>
    <cellStyle name="20% - akcent 3 3 4 6 2 4" xfId="5229"/>
    <cellStyle name="20% - akcent 3 3 4 6 3" xfId="5230"/>
    <cellStyle name="20% - akcent 3 3 4 6 3 2" xfId="5231"/>
    <cellStyle name="20% - akcent 3 3 4 6 4" xfId="5232"/>
    <cellStyle name="20% - akcent 3 3 4 6 4 2" xfId="5233"/>
    <cellStyle name="20% - akcent 3 3 4 6 5" xfId="5234"/>
    <cellStyle name="20% - akcent 3 3 4 7" xfId="5235"/>
    <cellStyle name="20% - akcent 3 3 4 7 2" xfId="5236"/>
    <cellStyle name="20% - akcent 3 3 4 7 2 2" xfId="5237"/>
    <cellStyle name="20% - akcent 3 3 4 7 2 2 2" xfId="5238"/>
    <cellStyle name="20% - akcent 3 3 4 7 2 3" xfId="5239"/>
    <cellStyle name="20% - akcent 3 3 4 7 2 3 2" xfId="5240"/>
    <cellStyle name="20% - akcent 3 3 4 7 2 4" xfId="5241"/>
    <cellStyle name="20% - akcent 3 3 4 7 3" xfId="5242"/>
    <cellStyle name="20% - akcent 3 3 4 7 3 2" xfId="5243"/>
    <cellStyle name="20% - akcent 3 3 4 7 4" xfId="5244"/>
    <cellStyle name="20% - akcent 3 3 4 7 4 2" xfId="5245"/>
    <cellStyle name="20% - akcent 3 3 4 7 5" xfId="5246"/>
    <cellStyle name="20% - akcent 3 3 4 8" xfId="5247"/>
    <cellStyle name="20% - akcent 3 3 4 8 2" xfId="5248"/>
    <cellStyle name="20% - akcent 3 3 4 8 2 2" xfId="5249"/>
    <cellStyle name="20% - akcent 3 3 4 8 3" xfId="5250"/>
    <cellStyle name="20% - akcent 3 3 4 8 3 2" xfId="5251"/>
    <cellStyle name="20% - akcent 3 3 4 8 4" xfId="5252"/>
    <cellStyle name="20% - akcent 3 3 4 9" xfId="5253"/>
    <cellStyle name="20% - akcent 3 3 4 9 2" xfId="5254"/>
    <cellStyle name="20% - akcent 3 3 5" xfId="5255"/>
    <cellStyle name="20% - akcent 3 3 5 10" xfId="5256"/>
    <cellStyle name="20% - akcent 3 3 5 2" xfId="5257"/>
    <cellStyle name="20% - akcent 3 3 5 2 2" xfId="5258"/>
    <cellStyle name="20% - akcent 3 3 5 2 2 2" xfId="5259"/>
    <cellStyle name="20% - akcent 3 3 5 2 2 2 2" xfId="5260"/>
    <cellStyle name="20% - akcent 3 3 5 2 2 2 2 2" xfId="5261"/>
    <cellStyle name="20% - akcent 3 3 5 2 2 2 3" xfId="5262"/>
    <cellStyle name="20% - akcent 3 3 5 2 2 2 3 2" xfId="5263"/>
    <cellStyle name="20% - akcent 3 3 5 2 2 2 4" xfId="5264"/>
    <cellStyle name="20% - akcent 3 3 5 2 2 3" xfId="5265"/>
    <cellStyle name="20% - akcent 3 3 5 2 2 3 2" xfId="5266"/>
    <cellStyle name="20% - akcent 3 3 5 2 2 4" xfId="5267"/>
    <cellStyle name="20% - akcent 3 3 5 2 2 4 2" xfId="5268"/>
    <cellStyle name="20% - akcent 3 3 5 2 2 5" xfId="5269"/>
    <cellStyle name="20% - akcent 3 3 5 2 3" xfId="5270"/>
    <cellStyle name="20% - akcent 3 3 5 2 3 2" xfId="5271"/>
    <cellStyle name="20% - akcent 3 3 5 2 3 2 2" xfId="5272"/>
    <cellStyle name="20% - akcent 3 3 5 2 3 2 2 2" xfId="5273"/>
    <cellStyle name="20% - akcent 3 3 5 2 3 2 3" xfId="5274"/>
    <cellStyle name="20% - akcent 3 3 5 2 3 2 3 2" xfId="5275"/>
    <cellStyle name="20% - akcent 3 3 5 2 3 2 4" xfId="5276"/>
    <cellStyle name="20% - akcent 3 3 5 2 3 3" xfId="5277"/>
    <cellStyle name="20% - akcent 3 3 5 2 3 3 2" xfId="5278"/>
    <cellStyle name="20% - akcent 3 3 5 2 3 4" xfId="5279"/>
    <cellStyle name="20% - akcent 3 3 5 2 3 4 2" xfId="5280"/>
    <cellStyle name="20% - akcent 3 3 5 2 3 5" xfId="5281"/>
    <cellStyle name="20% - akcent 3 3 5 2 4" xfId="5282"/>
    <cellStyle name="20% - akcent 3 3 5 2 4 2" xfId="5283"/>
    <cellStyle name="20% - akcent 3 3 5 2 4 2 2" xfId="5284"/>
    <cellStyle name="20% - akcent 3 3 5 2 4 2 2 2" xfId="5285"/>
    <cellStyle name="20% - akcent 3 3 5 2 4 2 3" xfId="5286"/>
    <cellStyle name="20% - akcent 3 3 5 2 4 2 3 2" xfId="5287"/>
    <cellStyle name="20% - akcent 3 3 5 2 4 2 4" xfId="5288"/>
    <cellStyle name="20% - akcent 3 3 5 2 4 3" xfId="5289"/>
    <cellStyle name="20% - akcent 3 3 5 2 4 3 2" xfId="5290"/>
    <cellStyle name="20% - akcent 3 3 5 2 4 4" xfId="5291"/>
    <cellStyle name="20% - akcent 3 3 5 2 4 4 2" xfId="5292"/>
    <cellStyle name="20% - akcent 3 3 5 2 4 5" xfId="5293"/>
    <cellStyle name="20% - akcent 3 3 5 2 5" xfId="5294"/>
    <cellStyle name="20% - akcent 3 3 5 2 5 2" xfId="5295"/>
    <cellStyle name="20% - akcent 3 3 5 2 5 2 2" xfId="5296"/>
    <cellStyle name="20% - akcent 3 3 5 2 5 3" xfId="5297"/>
    <cellStyle name="20% - akcent 3 3 5 2 5 3 2" xfId="5298"/>
    <cellStyle name="20% - akcent 3 3 5 2 5 4" xfId="5299"/>
    <cellStyle name="20% - akcent 3 3 5 2 6" xfId="5300"/>
    <cellStyle name="20% - akcent 3 3 5 2 6 2" xfId="5301"/>
    <cellStyle name="20% - akcent 3 3 5 2 7" xfId="5302"/>
    <cellStyle name="20% - akcent 3 3 5 2 7 2" xfId="5303"/>
    <cellStyle name="20% - akcent 3 3 5 2 8" xfId="5304"/>
    <cellStyle name="20% - akcent 3 3 5 3" xfId="5305"/>
    <cellStyle name="20% - akcent 3 3 5 3 2" xfId="5306"/>
    <cellStyle name="20% - akcent 3 3 5 3 2 2" xfId="5307"/>
    <cellStyle name="20% - akcent 3 3 5 3 2 2 2" xfId="5308"/>
    <cellStyle name="20% - akcent 3 3 5 3 2 2 2 2" xfId="5309"/>
    <cellStyle name="20% - akcent 3 3 5 3 2 2 3" xfId="5310"/>
    <cellStyle name="20% - akcent 3 3 5 3 2 2 3 2" xfId="5311"/>
    <cellStyle name="20% - akcent 3 3 5 3 2 2 4" xfId="5312"/>
    <cellStyle name="20% - akcent 3 3 5 3 2 3" xfId="5313"/>
    <cellStyle name="20% - akcent 3 3 5 3 2 3 2" xfId="5314"/>
    <cellStyle name="20% - akcent 3 3 5 3 2 4" xfId="5315"/>
    <cellStyle name="20% - akcent 3 3 5 3 2 4 2" xfId="5316"/>
    <cellStyle name="20% - akcent 3 3 5 3 2 5" xfId="5317"/>
    <cellStyle name="20% - akcent 3 3 5 3 3" xfId="5318"/>
    <cellStyle name="20% - akcent 3 3 5 3 3 2" xfId="5319"/>
    <cellStyle name="20% - akcent 3 3 5 3 3 2 2" xfId="5320"/>
    <cellStyle name="20% - akcent 3 3 5 3 3 2 2 2" xfId="5321"/>
    <cellStyle name="20% - akcent 3 3 5 3 3 2 3" xfId="5322"/>
    <cellStyle name="20% - akcent 3 3 5 3 3 2 3 2" xfId="5323"/>
    <cellStyle name="20% - akcent 3 3 5 3 3 2 4" xfId="5324"/>
    <cellStyle name="20% - akcent 3 3 5 3 3 3" xfId="5325"/>
    <cellStyle name="20% - akcent 3 3 5 3 3 3 2" xfId="5326"/>
    <cellStyle name="20% - akcent 3 3 5 3 3 4" xfId="5327"/>
    <cellStyle name="20% - akcent 3 3 5 3 3 4 2" xfId="5328"/>
    <cellStyle name="20% - akcent 3 3 5 3 3 5" xfId="5329"/>
    <cellStyle name="20% - akcent 3 3 5 3 4" xfId="5330"/>
    <cellStyle name="20% - akcent 3 3 5 3 4 2" xfId="5331"/>
    <cellStyle name="20% - akcent 3 3 5 3 4 2 2" xfId="5332"/>
    <cellStyle name="20% - akcent 3 3 5 3 4 2 2 2" xfId="5333"/>
    <cellStyle name="20% - akcent 3 3 5 3 4 2 3" xfId="5334"/>
    <cellStyle name="20% - akcent 3 3 5 3 4 2 3 2" xfId="5335"/>
    <cellStyle name="20% - akcent 3 3 5 3 4 2 4" xfId="5336"/>
    <cellStyle name="20% - akcent 3 3 5 3 4 3" xfId="5337"/>
    <cellStyle name="20% - akcent 3 3 5 3 4 3 2" xfId="5338"/>
    <cellStyle name="20% - akcent 3 3 5 3 4 4" xfId="5339"/>
    <cellStyle name="20% - akcent 3 3 5 3 4 4 2" xfId="5340"/>
    <cellStyle name="20% - akcent 3 3 5 3 4 5" xfId="5341"/>
    <cellStyle name="20% - akcent 3 3 5 3 5" xfId="5342"/>
    <cellStyle name="20% - akcent 3 3 5 3 5 2" xfId="5343"/>
    <cellStyle name="20% - akcent 3 3 5 3 5 2 2" xfId="5344"/>
    <cellStyle name="20% - akcent 3 3 5 3 5 3" xfId="5345"/>
    <cellStyle name="20% - akcent 3 3 5 3 5 3 2" xfId="5346"/>
    <cellStyle name="20% - akcent 3 3 5 3 5 4" xfId="5347"/>
    <cellStyle name="20% - akcent 3 3 5 3 6" xfId="5348"/>
    <cellStyle name="20% - akcent 3 3 5 3 6 2" xfId="5349"/>
    <cellStyle name="20% - akcent 3 3 5 3 7" xfId="5350"/>
    <cellStyle name="20% - akcent 3 3 5 3 7 2" xfId="5351"/>
    <cellStyle name="20% - akcent 3 3 5 3 8" xfId="5352"/>
    <cellStyle name="20% - akcent 3 3 5 4" xfId="5353"/>
    <cellStyle name="20% - akcent 3 3 5 4 2" xfId="5354"/>
    <cellStyle name="20% - akcent 3 3 5 4 2 2" xfId="5355"/>
    <cellStyle name="20% - akcent 3 3 5 4 2 2 2" xfId="5356"/>
    <cellStyle name="20% - akcent 3 3 5 4 2 3" xfId="5357"/>
    <cellStyle name="20% - akcent 3 3 5 4 2 3 2" xfId="5358"/>
    <cellStyle name="20% - akcent 3 3 5 4 2 4" xfId="5359"/>
    <cellStyle name="20% - akcent 3 3 5 4 3" xfId="5360"/>
    <cellStyle name="20% - akcent 3 3 5 4 3 2" xfId="5361"/>
    <cellStyle name="20% - akcent 3 3 5 4 4" xfId="5362"/>
    <cellStyle name="20% - akcent 3 3 5 4 4 2" xfId="5363"/>
    <cellStyle name="20% - akcent 3 3 5 4 5" xfId="5364"/>
    <cellStyle name="20% - akcent 3 3 5 5" xfId="5365"/>
    <cellStyle name="20% - akcent 3 3 5 5 2" xfId="5366"/>
    <cellStyle name="20% - akcent 3 3 5 5 2 2" xfId="5367"/>
    <cellStyle name="20% - akcent 3 3 5 5 2 2 2" xfId="5368"/>
    <cellStyle name="20% - akcent 3 3 5 5 2 3" xfId="5369"/>
    <cellStyle name="20% - akcent 3 3 5 5 2 3 2" xfId="5370"/>
    <cellStyle name="20% - akcent 3 3 5 5 2 4" xfId="5371"/>
    <cellStyle name="20% - akcent 3 3 5 5 3" xfId="5372"/>
    <cellStyle name="20% - akcent 3 3 5 5 3 2" xfId="5373"/>
    <cellStyle name="20% - akcent 3 3 5 5 4" xfId="5374"/>
    <cellStyle name="20% - akcent 3 3 5 5 4 2" xfId="5375"/>
    <cellStyle name="20% - akcent 3 3 5 5 5" xfId="5376"/>
    <cellStyle name="20% - akcent 3 3 5 6" xfId="5377"/>
    <cellStyle name="20% - akcent 3 3 5 6 2" xfId="5378"/>
    <cellStyle name="20% - akcent 3 3 5 6 2 2" xfId="5379"/>
    <cellStyle name="20% - akcent 3 3 5 6 2 2 2" xfId="5380"/>
    <cellStyle name="20% - akcent 3 3 5 6 2 3" xfId="5381"/>
    <cellStyle name="20% - akcent 3 3 5 6 2 3 2" xfId="5382"/>
    <cellStyle name="20% - akcent 3 3 5 6 2 4" xfId="5383"/>
    <cellStyle name="20% - akcent 3 3 5 6 3" xfId="5384"/>
    <cellStyle name="20% - akcent 3 3 5 6 3 2" xfId="5385"/>
    <cellStyle name="20% - akcent 3 3 5 6 4" xfId="5386"/>
    <cellStyle name="20% - akcent 3 3 5 6 4 2" xfId="5387"/>
    <cellStyle name="20% - akcent 3 3 5 6 5" xfId="5388"/>
    <cellStyle name="20% - akcent 3 3 5 7" xfId="5389"/>
    <cellStyle name="20% - akcent 3 3 5 7 2" xfId="5390"/>
    <cellStyle name="20% - akcent 3 3 5 7 2 2" xfId="5391"/>
    <cellStyle name="20% - akcent 3 3 5 7 3" xfId="5392"/>
    <cellStyle name="20% - akcent 3 3 5 7 3 2" xfId="5393"/>
    <cellStyle name="20% - akcent 3 3 5 7 4" xfId="5394"/>
    <cellStyle name="20% - akcent 3 3 5 8" xfId="5395"/>
    <cellStyle name="20% - akcent 3 3 5 8 2" xfId="5396"/>
    <cellStyle name="20% - akcent 3 3 5 9" xfId="5397"/>
    <cellStyle name="20% - akcent 3 3 5 9 2" xfId="5398"/>
    <cellStyle name="20% - akcent 3 3 6" xfId="5399"/>
    <cellStyle name="20% - akcent 3 3 6 10" xfId="5400"/>
    <cellStyle name="20% - akcent 3 3 6 2" xfId="5401"/>
    <cellStyle name="20% - akcent 3 3 6 2 2" xfId="5402"/>
    <cellStyle name="20% - akcent 3 3 6 2 2 2" xfId="5403"/>
    <cellStyle name="20% - akcent 3 3 6 2 2 2 2" xfId="5404"/>
    <cellStyle name="20% - akcent 3 3 6 2 2 2 2 2" xfId="5405"/>
    <cellStyle name="20% - akcent 3 3 6 2 2 2 3" xfId="5406"/>
    <cellStyle name="20% - akcent 3 3 6 2 2 2 3 2" xfId="5407"/>
    <cellStyle name="20% - akcent 3 3 6 2 2 2 4" xfId="5408"/>
    <cellStyle name="20% - akcent 3 3 6 2 2 3" xfId="5409"/>
    <cellStyle name="20% - akcent 3 3 6 2 2 3 2" xfId="5410"/>
    <cellStyle name="20% - akcent 3 3 6 2 2 4" xfId="5411"/>
    <cellStyle name="20% - akcent 3 3 6 2 2 4 2" xfId="5412"/>
    <cellStyle name="20% - akcent 3 3 6 2 2 5" xfId="5413"/>
    <cellStyle name="20% - akcent 3 3 6 2 3" xfId="5414"/>
    <cellStyle name="20% - akcent 3 3 6 2 3 2" xfId="5415"/>
    <cellStyle name="20% - akcent 3 3 6 2 3 2 2" xfId="5416"/>
    <cellStyle name="20% - akcent 3 3 6 2 3 2 2 2" xfId="5417"/>
    <cellStyle name="20% - akcent 3 3 6 2 3 2 3" xfId="5418"/>
    <cellStyle name="20% - akcent 3 3 6 2 3 2 3 2" xfId="5419"/>
    <cellStyle name="20% - akcent 3 3 6 2 3 2 4" xfId="5420"/>
    <cellStyle name="20% - akcent 3 3 6 2 3 3" xfId="5421"/>
    <cellStyle name="20% - akcent 3 3 6 2 3 3 2" xfId="5422"/>
    <cellStyle name="20% - akcent 3 3 6 2 3 4" xfId="5423"/>
    <cellStyle name="20% - akcent 3 3 6 2 3 4 2" xfId="5424"/>
    <cellStyle name="20% - akcent 3 3 6 2 3 5" xfId="5425"/>
    <cellStyle name="20% - akcent 3 3 6 2 4" xfId="5426"/>
    <cellStyle name="20% - akcent 3 3 6 2 4 2" xfId="5427"/>
    <cellStyle name="20% - akcent 3 3 6 2 4 2 2" xfId="5428"/>
    <cellStyle name="20% - akcent 3 3 6 2 4 2 2 2" xfId="5429"/>
    <cellStyle name="20% - akcent 3 3 6 2 4 2 3" xfId="5430"/>
    <cellStyle name="20% - akcent 3 3 6 2 4 2 3 2" xfId="5431"/>
    <cellStyle name="20% - akcent 3 3 6 2 4 2 4" xfId="5432"/>
    <cellStyle name="20% - akcent 3 3 6 2 4 3" xfId="5433"/>
    <cellStyle name="20% - akcent 3 3 6 2 4 3 2" xfId="5434"/>
    <cellStyle name="20% - akcent 3 3 6 2 4 4" xfId="5435"/>
    <cellStyle name="20% - akcent 3 3 6 2 4 4 2" xfId="5436"/>
    <cellStyle name="20% - akcent 3 3 6 2 4 5" xfId="5437"/>
    <cellStyle name="20% - akcent 3 3 6 2 5" xfId="5438"/>
    <cellStyle name="20% - akcent 3 3 6 2 5 2" xfId="5439"/>
    <cellStyle name="20% - akcent 3 3 6 2 5 2 2" xfId="5440"/>
    <cellStyle name="20% - akcent 3 3 6 2 5 3" xfId="5441"/>
    <cellStyle name="20% - akcent 3 3 6 2 5 3 2" xfId="5442"/>
    <cellStyle name="20% - akcent 3 3 6 2 5 4" xfId="5443"/>
    <cellStyle name="20% - akcent 3 3 6 2 6" xfId="5444"/>
    <cellStyle name="20% - akcent 3 3 6 2 6 2" xfId="5445"/>
    <cellStyle name="20% - akcent 3 3 6 2 7" xfId="5446"/>
    <cellStyle name="20% - akcent 3 3 6 2 7 2" xfId="5447"/>
    <cellStyle name="20% - akcent 3 3 6 2 8" xfId="5448"/>
    <cellStyle name="20% - akcent 3 3 6 3" xfId="5449"/>
    <cellStyle name="20% - akcent 3 3 6 3 2" xfId="5450"/>
    <cellStyle name="20% - akcent 3 3 6 3 2 2" xfId="5451"/>
    <cellStyle name="20% - akcent 3 3 6 3 2 2 2" xfId="5452"/>
    <cellStyle name="20% - akcent 3 3 6 3 2 2 2 2" xfId="5453"/>
    <cellStyle name="20% - akcent 3 3 6 3 2 2 3" xfId="5454"/>
    <cellStyle name="20% - akcent 3 3 6 3 2 2 3 2" xfId="5455"/>
    <cellStyle name="20% - akcent 3 3 6 3 2 2 4" xfId="5456"/>
    <cellStyle name="20% - akcent 3 3 6 3 2 3" xfId="5457"/>
    <cellStyle name="20% - akcent 3 3 6 3 2 3 2" xfId="5458"/>
    <cellStyle name="20% - akcent 3 3 6 3 2 4" xfId="5459"/>
    <cellStyle name="20% - akcent 3 3 6 3 2 4 2" xfId="5460"/>
    <cellStyle name="20% - akcent 3 3 6 3 2 5" xfId="5461"/>
    <cellStyle name="20% - akcent 3 3 6 3 3" xfId="5462"/>
    <cellStyle name="20% - akcent 3 3 6 3 3 2" xfId="5463"/>
    <cellStyle name="20% - akcent 3 3 6 3 3 2 2" xfId="5464"/>
    <cellStyle name="20% - akcent 3 3 6 3 3 2 2 2" xfId="5465"/>
    <cellStyle name="20% - akcent 3 3 6 3 3 2 3" xfId="5466"/>
    <cellStyle name="20% - akcent 3 3 6 3 3 2 3 2" xfId="5467"/>
    <cellStyle name="20% - akcent 3 3 6 3 3 2 4" xfId="5468"/>
    <cellStyle name="20% - akcent 3 3 6 3 3 3" xfId="5469"/>
    <cellStyle name="20% - akcent 3 3 6 3 3 3 2" xfId="5470"/>
    <cellStyle name="20% - akcent 3 3 6 3 3 4" xfId="5471"/>
    <cellStyle name="20% - akcent 3 3 6 3 3 4 2" xfId="5472"/>
    <cellStyle name="20% - akcent 3 3 6 3 3 5" xfId="5473"/>
    <cellStyle name="20% - akcent 3 3 6 3 4" xfId="5474"/>
    <cellStyle name="20% - akcent 3 3 6 3 4 2" xfId="5475"/>
    <cellStyle name="20% - akcent 3 3 6 3 4 2 2" xfId="5476"/>
    <cellStyle name="20% - akcent 3 3 6 3 4 2 2 2" xfId="5477"/>
    <cellStyle name="20% - akcent 3 3 6 3 4 2 3" xfId="5478"/>
    <cellStyle name="20% - akcent 3 3 6 3 4 2 3 2" xfId="5479"/>
    <cellStyle name="20% - akcent 3 3 6 3 4 2 4" xfId="5480"/>
    <cellStyle name="20% - akcent 3 3 6 3 4 3" xfId="5481"/>
    <cellStyle name="20% - akcent 3 3 6 3 4 3 2" xfId="5482"/>
    <cellStyle name="20% - akcent 3 3 6 3 4 4" xfId="5483"/>
    <cellStyle name="20% - akcent 3 3 6 3 4 4 2" xfId="5484"/>
    <cellStyle name="20% - akcent 3 3 6 3 4 5" xfId="5485"/>
    <cellStyle name="20% - akcent 3 3 6 3 5" xfId="5486"/>
    <cellStyle name="20% - akcent 3 3 6 3 5 2" xfId="5487"/>
    <cellStyle name="20% - akcent 3 3 6 3 5 2 2" xfId="5488"/>
    <cellStyle name="20% - akcent 3 3 6 3 5 3" xfId="5489"/>
    <cellStyle name="20% - akcent 3 3 6 3 5 3 2" xfId="5490"/>
    <cellStyle name="20% - akcent 3 3 6 3 5 4" xfId="5491"/>
    <cellStyle name="20% - akcent 3 3 6 3 6" xfId="5492"/>
    <cellStyle name="20% - akcent 3 3 6 3 6 2" xfId="5493"/>
    <cellStyle name="20% - akcent 3 3 6 3 7" xfId="5494"/>
    <cellStyle name="20% - akcent 3 3 6 3 7 2" xfId="5495"/>
    <cellStyle name="20% - akcent 3 3 6 3 8" xfId="5496"/>
    <cellStyle name="20% - akcent 3 3 6 4" xfId="5497"/>
    <cellStyle name="20% - akcent 3 3 6 4 2" xfId="5498"/>
    <cellStyle name="20% - akcent 3 3 6 4 2 2" xfId="5499"/>
    <cellStyle name="20% - akcent 3 3 6 4 2 2 2" xfId="5500"/>
    <cellStyle name="20% - akcent 3 3 6 4 2 3" xfId="5501"/>
    <cellStyle name="20% - akcent 3 3 6 4 2 3 2" xfId="5502"/>
    <cellStyle name="20% - akcent 3 3 6 4 2 4" xfId="5503"/>
    <cellStyle name="20% - akcent 3 3 6 4 3" xfId="5504"/>
    <cellStyle name="20% - akcent 3 3 6 4 3 2" xfId="5505"/>
    <cellStyle name="20% - akcent 3 3 6 4 4" xfId="5506"/>
    <cellStyle name="20% - akcent 3 3 6 4 4 2" xfId="5507"/>
    <cellStyle name="20% - akcent 3 3 6 4 5" xfId="5508"/>
    <cellStyle name="20% - akcent 3 3 6 5" xfId="5509"/>
    <cellStyle name="20% - akcent 3 3 6 5 2" xfId="5510"/>
    <cellStyle name="20% - akcent 3 3 6 5 2 2" xfId="5511"/>
    <cellStyle name="20% - akcent 3 3 6 5 2 2 2" xfId="5512"/>
    <cellStyle name="20% - akcent 3 3 6 5 2 3" xfId="5513"/>
    <cellStyle name="20% - akcent 3 3 6 5 2 3 2" xfId="5514"/>
    <cellStyle name="20% - akcent 3 3 6 5 2 4" xfId="5515"/>
    <cellStyle name="20% - akcent 3 3 6 5 3" xfId="5516"/>
    <cellStyle name="20% - akcent 3 3 6 5 3 2" xfId="5517"/>
    <cellStyle name="20% - akcent 3 3 6 5 4" xfId="5518"/>
    <cellStyle name="20% - akcent 3 3 6 5 4 2" xfId="5519"/>
    <cellStyle name="20% - akcent 3 3 6 5 5" xfId="5520"/>
    <cellStyle name="20% - akcent 3 3 6 6" xfId="5521"/>
    <cellStyle name="20% - akcent 3 3 6 6 2" xfId="5522"/>
    <cellStyle name="20% - akcent 3 3 6 6 2 2" xfId="5523"/>
    <cellStyle name="20% - akcent 3 3 6 6 2 2 2" xfId="5524"/>
    <cellStyle name="20% - akcent 3 3 6 6 2 3" xfId="5525"/>
    <cellStyle name="20% - akcent 3 3 6 6 2 3 2" xfId="5526"/>
    <cellStyle name="20% - akcent 3 3 6 6 2 4" xfId="5527"/>
    <cellStyle name="20% - akcent 3 3 6 6 3" xfId="5528"/>
    <cellStyle name="20% - akcent 3 3 6 6 3 2" xfId="5529"/>
    <cellStyle name="20% - akcent 3 3 6 6 4" xfId="5530"/>
    <cellStyle name="20% - akcent 3 3 6 6 4 2" xfId="5531"/>
    <cellStyle name="20% - akcent 3 3 6 6 5" xfId="5532"/>
    <cellStyle name="20% - akcent 3 3 6 7" xfId="5533"/>
    <cellStyle name="20% - akcent 3 3 6 7 2" xfId="5534"/>
    <cellStyle name="20% - akcent 3 3 6 7 2 2" xfId="5535"/>
    <cellStyle name="20% - akcent 3 3 6 7 3" xfId="5536"/>
    <cellStyle name="20% - akcent 3 3 6 7 3 2" xfId="5537"/>
    <cellStyle name="20% - akcent 3 3 6 7 4" xfId="5538"/>
    <cellStyle name="20% - akcent 3 3 6 8" xfId="5539"/>
    <cellStyle name="20% - akcent 3 3 6 8 2" xfId="5540"/>
    <cellStyle name="20% - akcent 3 3 6 9" xfId="5541"/>
    <cellStyle name="20% - akcent 3 3 6 9 2" xfId="5542"/>
    <cellStyle name="20% - akcent 3 3 7" xfId="5543"/>
    <cellStyle name="20% - akcent 3 3 7 2" xfId="5544"/>
    <cellStyle name="20% - akcent 3 3 7 2 2" xfId="5545"/>
    <cellStyle name="20% - akcent 3 3 7 2 2 2" xfId="5546"/>
    <cellStyle name="20% - akcent 3 3 7 2 2 2 2" xfId="5547"/>
    <cellStyle name="20% - akcent 3 3 7 2 2 2 2 2" xfId="5548"/>
    <cellStyle name="20% - akcent 3 3 7 2 2 2 3" xfId="5549"/>
    <cellStyle name="20% - akcent 3 3 7 2 2 2 3 2" xfId="5550"/>
    <cellStyle name="20% - akcent 3 3 7 2 2 2 4" xfId="5551"/>
    <cellStyle name="20% - akcent 3 3 7 2 2 3" xfId="5552"/>
    <cellStyle name="20% - akcent 3 3 7 2 2 3 2" xfId="5553"/>
    <cellStyle name="20% - akcent 3 3 7 2 2 4" xfId="5554"/>
    <cellStyle name="20% - akcent 3 3 7 2 2 4 2" xfId="5555"/>
    <cellStyle name="20% - akcent 3 3 7 2 2 5" xfId="5556"/>
    <cellStyle name="20% - akcent 3 3 7 2 3" xfId="5557"/>
    <cellStyle name="20% - akcent 3 3 7 2 3 2" xfId="5558"/>
    <cellStyle name="20% - akcent 3 3 7 2 3 2 2" xfId="5559"/>
    <cellStyle name="20% - akcent 3 3 7 2 3 2 2 2" xfId="5560"/>
    <cellStyle name="20% - akcent 3 3 7 2 3 2 3" xfId="5561"/>
    <cellStyle name="20% - akcent 3 3 7 2 3 2 3 2" xfId="5562"/>
    <cellStyle name="20% - akcent 3 3 7 2 3 2 4" xfId="5563"/>
    <cellStyle name="20% - akcent 3 3 7 2 3 3" xfId="5564"/>
    <cellStyle name="20% - akcent 3 3 7 2 3 3 2" xfId="5565"/>
    <cellStyle name="20% - akcent 3 3 7 2 3 4" xfId="5566"/>
    <cellStyle name="20% - akcent 3 3 7 2 3 4 2" xfId="5567"/>
    <cellStyle name="20% - akcent 3 3 7 2 3 5" xfId="5568"/>
    <cellStyle name="20% - akcent 3 3 7 2 4" xfId="5569"/>
    <cellStyle name="20% - akcent 3 3 7 2 4 2" xfId="5570"/>
    <cellStyle name="20% - akcent 3 3 7 2 4 2 2" xfId="5571"/>
    <cellStyle name="20% - akcent 3 3 7 2 4 2 2 2" xfId="5572"/>
    <cellStyle name="20% - akcent 3 3 7 2 4 2 3" xfId="5573"/>
    <cellStyle name="20% - akcent 3 3 7 2 4 2 3 2" xfId="5574"/>
    <cellStyle name="20% - akcent 3 3 7 2 4 2 4" xfId="5575"/>
    <cellStyle name="20% - akcent 3 3 7 2 4 3" xfId="5576"/>
    <cellStyle name="20% - akcent 3 3 7 2 4 3 2" xfId="5577"/>
    <cellStyle name="20% - akcent 3 3 7 2 4 4" xfId="5578"/>
    <cellStyle name="20% - akcent 3 3 7 2 4 4 2" xfId="5579"/>
    <cellStyle name="20% - akcent 3 3 7 2 4 5" xfId="5580"/>
    <cellStyle name="20% - akcent 3 3 7 2 5" xfId="5581"/>
    <cellStyle name="20% - akcent 3 3 7 2 5 2" xfId="5582"/>
    <cellStyle name="20% - akcent 3 3 7 2 5 2 2" xfId="5583"/>
    <cellStyle name="20% - akcent 3 3 7 2 5 3" xfId="5584"/>
    <cellStyle name="20% - akcent 3 3 7 2 5 3 2" xfId="5585"/>
    <cellStyle name="20% - akcent 3 3 7 2 5 4" xfId="5586"/>
    <cellStyle name="20% - akcent 3 3 7 2 6" xfId="5587"/>
    <cellStyle name="20% - akcent 3 3 7 2 6 2" xfId="5588"/>
    <cellStyle name="20% - akcent 3 3 7 2 7" xfId="5589"/>
    <cellStyle name="20% - akcent 3 3 7 2 7 2" xfId="5590"/>
    <cellStyle name="20% - akcent 3 3 7 2 8" xfId="5591"/>
    <cellStyle name="20% - akcent 3 3 7 3" xfId="5592"/>
    <cellStyle name="20% - akcent 3 3 7 3 2" xfId="5593"/>
    <cellStyle name="20% - akcent 3 3 7 3 2 2" xfId="5594"/>
    <cellStyle name="20% - akcent 3 3 7 3 2 2 2" xfId="5595"/>
    <cellStyle name="20% - akcent 3 3 7 3 2 3" xfId="5596"/>
    <cellStyle name="20% - akcent 3 3 7 3 2 3 2" xfId="5597"/>
    <cellStyle name="20% - akcent 3 3 7 3 2 4" xfId="5598"/>
    <cellStyle name="20% - akcent 3 3 7 3 3" xfId="5599"/>
    <cellStyle name="20% - akcent 3 3 7 3 3 2" xfId="5600"/>
    <cellStyle name="20% - akcent 3 3 7 3 4" xfId="5601"/>
    <cellStyle name="20% - akcent 3 3 7 3 4 2" xfId="5602"/>
    <cellStyle name="20% - akcent 3 3 7 3 5" xfId="5603"/>
    <cellStyle name="20% - akcent 3 3 7 4" xfId="5604"/>
    <cellStyle name="20% - akcent 3 3 7 4 2" xfId="5605"/>
    <cellStyle name="20% - akcent 3 3 7 4 2 2" xfId="5606"/>
    <cellStyle name="20% - akcent 3 3 7 4 2 2 2" xfId="5607"/>
    <cellStyle name="20% - akcent 3 3 7 4 2 3" xfId="5608"/>
    <cellStyle name="20% - akcent 3 3 7 4 2 3 2" xfId="5609"/>
    <cellStyle name="20% - akcent 3 3 7 4 2 4" xfId="5610"/>
    <cellStyle name="20% - akcent 3 3 7 4 3" xfId="5611"/>
    <cellStyle name="20% - akcent 3 3 7 4 3 2" xfId="5612"/>
    <cellStyle name="20% - akcent 3 3 7 4 4" xfId="5613"/>
    <cellStyle name="20% - akcent 3 3 7 4 4 2" xfId="5614"/>
    <cellStyle name="20% - akcent 3 3 7 4 5" xfId="5615"/>
    <cellStyle name="20% - akcent 3 3 7 5" xfId="5616"/>
    <cellStyle name="20% - akcent 3 3 7 5 2" xfId="5617"/>
    <cellStyle name="20% - akcent 3 3 7 5 2 2" xfId="5618"/>
    <cellStyle name="20% - akcent 3 3 7 5 2 2 2" xfId="5619"/>
    <cellStyle name="20% - akcent 3 3 7 5 2 3" xfId="5620"/>
    <cellStyle name="20% - akcent 3 3 7 5 2 3 2" xfId="5621"/>
    <cellStyle name="20% - akcent 3 3 7 5 2 4" xfId="5622"/>
    <cellStyle name="20% - akcent 3 3 7 5 3" xfId="5623"/>
    <cellStyle name="20% - akcent 3 3 7 5 3 2" xfId="5624"/>
    <cellStyle name="20% - akcent 3 3 7 5 4" xfId="5625"/>
    <cellStyle name="20% - akcent 3 3 7 5 4 2" xfId="5626"/>
    <cellStyle name="20% - akcent 3 3 7 5 5" xfId="5627"/>
    <cellStyle name="20% - akcent 3 3 7 6" xfId="5628"/>
    <cellStyle name="20% - akcent 3 3 7 6 2" xfId="5629"/>
    <cellStyle name="20% - akcent 3 3 7 6 2 2" xfId="5630"/>
    <cellStyle name="20% - akcent 3 3 7 6 3" xfId="5631"/>
    <cellStyle name="20% - akcent 3 3 7 6 3 2" xfId="5632"/>
    <cellStyle name="20% - akcent 3 3 7 6 4" xfId="5633"/>
    <cellStyle name="20% - akcent 3 3 7 7" xfId="5634"/>
    <cellStyle name="20% - akcent 3 3 7 7 2" xfId="5635"/>
    <cellStyle name="20% - akcent 3 3 7 8" xfId="5636"/>
    <cellStyle name="20% - akcent 3 3 7 8 2" xfId="5637"/>
    <cellStyle name="20% - akcent 3 3 7 9" xfId="5638"/>
    <cellStyle name="20% - akcent 3 3 8" xfId="5639"/>
    <cellStyle name="20% - akcent 3 3 8 2" xfId="5640"/>
    <cellStyle name="20% - akcent 3 3 8 2 2" xfId="5641"/>
    <cellStyle name="20% - akcent 3 3 8 2 2 2" xfId="5642"/>
    <cellStyle name="20% - akcent 3 3 8 2 2 2 2" xfId="5643"/>
    <cellStyle name="20% - akcent 3 3 8 2 2 2 2 2" xfId="5644"/>
    <cellStyle name="20% - akcent 3 3 8 2 2 2 3" xfId="5645"/>
    <cellStyle name="20% - akcent 3 3 8 2 2 2 3 2" xfId="5646"/>
    <cellStyle name="20% - akcent 3 3 8 2 2 2 4" xfId="5647"/>
    <cellStyle name="20% - akcent 3 3 8 2 2 3" xfId="5648"/>
    <cellStyle name="20% - akcent 3 3 8 2 2 3 2" xfId="5649"/>
    <cellStyle name="20% - akcent 3 3 8 2 2 4" xfId="5650"/>
    <cellStyle name="20% - akcent 3 3 8 2 2 4 2" xfId="5651"/>
    <cellStyle name="20% - akcent 3 3 8 2 2 5" xfId="5652"/>
    <cellStyle name="20% - akcent 3 3 8 2 3" xfId="5653"/>
    <cellStyle name="20% - akcent 3 3 8 2 3 2" xfId="5654"/>
    <cellStyle name="20% - akcent 3 3 8 2 3 2 2" xfId="5655"/>
    <cellStyle name="20% - akcent 3 3 8 2 3 2 2 2" xfId="5656"/>
    <cellStyle name="20% - akcent 3 3 8 2 3 2 3" xfId="5657"/>
    <cellStyle name="20% - akcent 3 3 8 2 3 2 3 2" xfId="5658"/>
    <cellStyle name="20% - akcent 3 3 8 2 3 2 4" xfId="5659"/>
    <cellStyle name="20% - akcent 3 3 8 2 3 3" xfId="5660"/>
    <cellStyle name="20% - akcent 3 3 8 2 3 3 2" xfId="5661"/>
    <cellStyle name="20% - akcent 3 3 8 2 3 4" xfId="5662"/>
    <cellStyle name="20% - akcent 3 3 8 2 3 4 2" xfId="5663"/>
    <cellStyle name="20% - akcent 3 3 8 2 3 5" xfId="5664"/>
    <cellStyle name="20% - akcent 3 3 8 2 4" xfId="5665"/>
    <cellStyle name="20% - akcent 3 3 8 2 4 2" xfId="5666"/>
    <cellStyle name="20% - akcent 3 3 8 2 4 2 2" xfId="5667"/>
    <cellStyle name="20% - akcent 3 3 8 2 4 2 2 2" xfId="5668"/>
    <cellStyle name="20% - akcent 3 3 8 2 4 2 3" xfId="5669"/>
    <cellStyle name="20% - akcent 3 3 8 2 4 2 3 2" xfId="5670"/>
    <cellStyle name="20% - akcent 3 3 8 2 4 2 4" xfId="5671"/>
    <cellStyle name="20% - akcent 3 3 8 2 4 3" xfId="5672"/>
    <cellStyle name="20% - akcent 3 3 8 2 4 3 2" xfId="5673"/>
    <cellStyle name="20% - akcent 3 3 8 2 4 4" xfId="5674"/>
    <cellStyle name="20% - akcent 3 3 8 2 4 4 2" xfId="5675"/>
    <cellStyle name="20% - akcent 3 3 8 2 4 5" xfId="5676"/>
    <cellStyle name="20% - akcent 3 3 8 2 5" xfId="5677"/>
    <cellStyle name="20% - akcent 3 3 8 2 5 2" xfId="5678"/>
    <cellStyle name="20% - akcent 3 3 8 2 5 2 2" xfId="5679"/>
    <cellStyle name="20% - akcent 3 3 8 2 5 3" xfId="5680"/>
    <cellStyle name="20% - akcent 3 3 8 2 5 3 2" xfId="5681"/>
    <cellStyle name="20% - akcent 3 3 8 2 5 4" xfId="5682"/>
    <cellStyle name="20% - akcent 3 3 8 2 6" xfId="5683"/>
    <cellStyle name="20% - akcent 3 3 8 2 6 2" xfId="5684"/>
    <cellStyle name="20% - akcent 3 3 8 2 7" xfId="5685"/>
    <cellStyle name="20% - akcent 3 3 8 2 7 2" xfId="5686"/>
    <cellStyle name="20% - akcent 3 3 8 2 8" xfId="5687"/>
    <cellStyle name="20% - akcent 3 3 8 3" xfId="5688"/>
    <cellStyle name="20% - akcent 3 3 8 3 2" xfId="5689"/>
    <cellStyle name="20% - akcent 3 3 8 3 2 2" xfId="5690"/>
    <cellStyle name="20% - akcent 3 3 8 3 2 2 2" xfId="5691"/>
    <cellStyle name="20% - akcent 3 3 8 3 2 3" xfId="5692"/>
    <cellStyle name="20% - akcent 3 3 8 3 2 3 2" xfId="5693"/>
    <cellStyle name="20% - akcent 3 3 8 3 2 4" xfId="5694"/>
    <cellStyle name="20% - akcent 3 3 8 3 3" xfId="5695"/>
    <cellStyle name="20% - akcent 3 3 8 3 3 2" xfId="5696"/>
    <cellStyle name="20% - akcent 3 3 8 3 4" xfId="5697"/>
    <cellStyle name="20% - akcent 3 3 8 3 4 2" xfId="5698"/>
    <cellStyle name="20% - akcent 3 3 8 3 5" xfId="5699"/>
    <cellStyle name="20% - akcent 3 3 8 4" xfId="5700"/>
    <cellStyle name="20% - akcent 3 3 8 4 2" xfId="5701"/>
    <cellStyle name="20% - akcent 3 3 8 4 2 2" xfId="5702"/>
    <cellStyle name="20% - akcent 3 3 8 4 2 2 2" xfId="5703"/>
    <cellStyle name="20% - akcent 3 3 8 4 2 3" xfId="5704"/>
    <cellStyle name="20% - akcent 3 3 8 4 2 3 2" xfId="5705"/>
    <cellStyle name="20% - akcent 3 3 8 4 2 4" xfId="5706"/>
    <cellStyle name="20% - akcent 3 3 8 4 3" xfId="5707"/>
    <cellStyle name="20% - akcent 3 3 8 4 3 2" xfId="5708"/>
    <cellStyle name="20% - akcent 3 3 8 4 4" xfId="5709"/>
    <cellStyle name="20% - akcent 3 3 8 4 4 2" xfId="5710"/>
    <cellStyle name="20% - akcent 3 3 8 4 5" xfId="5711"/>
    <cellStyle name="20% - akcent 3 3 8 5" xfId="5712"/>
    <cellStyle name="20% - akcent 3 3 8 5 2" xfId="5713"/>
    <cellStyle name="20% - akcent 3 3 8 5 2 2" xfId="5714"/>
    <cellStyle name="20% - akcent 3 3 8 5 2 2 2" xfId="5715"/>
    <cellStyle name="20% - akcent 3 3 8 5 2 3" xfId="5716"/>
    <cellStyle name="20% - akcent 3 3 8 5 2 3 2" xfId="5717"/>
    <cellStyle name="20% - akcent 3 3 8 5 2 4" xfId="5718"/>
    <cellStyle name="20% - akcent 3 3 8 5 3" xfId="5719"/>
    <cellStyle name="20% - akcent 3 3 8 5 3 2" xfId="5720"/>
    <cellStyle name="20% - akcent 3 3 8 5 4" xfId="5721"/>
    <cellStyle name="20% - akcent 3 3 8 5 4 2" xfId="5722"/>
    <cellStyle name="20% - akcent 3 3 8 5 5" xfId="5723"/>
    <cellStyle name="20% - akcent 3 3 8 6" xfId="5724"/>
    <cellStyle name="20% - akcent 3 3 8 6 2" xfId="5725"/>
    <cellStyle name="20% - akcent 3 3 8 6 2 2" xfId="5726"/>
    <cellStyle name="20% - akcent 3 3 8 6 3" xfId="5727"/>
    <cellStyle name="20% - akcent 3 3 8 6 3 2" xfId="5728"/>
    <cellStyle name="20% - akcent 3 3 8 6 4" xfId="5729"/>
    <cellStyle name="20% - akcent 3 3 8 7" xfId="5730"/>
    <cellStyle name="20% - akcent 3 3 8 7 2" xfId="5731"/>
    <cellStyle name="20% - akcent 3 3 8 8" xfId="5732"/>
    <cellStyle name="20% - akcent 3 3 8 8 2" xfId="5733"/>
    <cellStyle name="20% - akcent 3 3 8 9" xfId="5734"/>
    <cellStyle name="20% - akcent 3 3 9" xfId="5735"/>
    <cellStyle name="20% - akcent 3 3 9 2" xfId="5736"/>
    <cellStyle name="20% - akcent 3 3 9 2 2" xfId="5737"/>
    <cellStyle name="20% - akcent 3 3 9 2 2 2" xfId="5738"/>
    <cellStyle name="20% - akcent 3 3 9 2 2 2 2" xfId="5739"/>
    <cellStyle name="20% - akcent 3 3 9 2 2 3" xfId="5740"/>
    <cellStyle name="20% - akcent 3 3 9 2 2 3 2" xfId="5741"/>
    <cellStyle name="20% - akcent 3 3 9 2 2 4" xfId="5742"/>
    <cellStyle name="20% - akcent 3 3 9 2 3" xfId="5743"/>
    <cellStyle name="20% - akcent 3 3 9 2 3 2" xfId="5744"/>
    <cellStyle name="20% - akcent 3 3 9 2 4" xfId="5745"/>
    <cellStyle name="20% - akcent 3 3 9 2 4 2" xfId="5746"/>
    <cellStyle name="20% - akcent 3 3 9 2 5" xfId="5747"/>
    <cellStyle name="20% - akcent 3 3 9 3" xfId="5748"/>
    <cellStyle name="20% - akcent 3 3 9 3 2" xfId="5749"/>
    <cellStyle name="20% - akcent 3 3 9 3 2 2" xfId="5750"/>
    <cellStyle name="20% - akcent 3 3 9 3 2 2 2" xfId="5751"/>
    <cellStyle name="20% - akcent 3 3 9 3 2 3" xfId="5752"/>
    <cellStyle name="20% - akcent 3 3 9 3 2 3 2" xfId="5753"/>
    <cellStyle name="20% - akcent 3 3 9 3 2 4" xfId="5754"/>
    <cellStyle name="20% - akcent 3 3 9 3 3" xfId="5755"/>
    <cellStyle name="20% - akcent 3 3 9 3 3 2" xfId="5756"/>
    <cellStyle name="20% - akcent 3 3 9 3 4" xfId="5757"/>
    <cellStyle name="20% - akcent 3 3 9 3 4 2" xfId="5758"/>
    <cellStyle name="20% - akcent 3 3 9 3 5" xfId="5759"/>
    <cellStyle name="20% - akcent 3 3 9 4" xfId="5760"/>
    <cellStyle name="20% - akcent 3 3 9 4 2" xfId="5761"/>
    <cellStyle name="20% - akcent 3 3 9 4 2 2" xfId="5762"/>
    <cellStyle name="20% - akcent 3 3 9 4 2 2 2" xfId="5763"/>
    <cellStyle name="20% - akcent 3 3 9 4 2 3" xfId="5764"/>
    <cellStyle name="20% - akcent 3 3 9 4 2 3 2" xfId="5765"/>
    <cellStyle name="20% - akcent 3 3 9 4 2 4" xfId="5766"/>
    <cellStyle name="20% - akcent 3 3 9 4 3" xfId="5767"/>
    <cellStyle name="20% - akcent 3 3 9 4 3 2" xfId="5768"/>
    <cellStyle name="20% - akcent 3 3 9 4 4" xfId="5769"/>
    <cellStyle name="20% - akcent 3 3 9 4 4 2" xfId="5770"/>
    <cellStyle name="20% - akcent 3 3 9 4 5" xfId="5771"/>
    <cellStyle name="20% - akcent 3 3 9 5" xfId="5772"/>
    <cellStyle name="20% - akcent 3 3 9 5 2" xfId="5773"/>
    <cellStyle name="20% - akcent 3 3 9 5 2 2" xfId="5774"/>
    <cellStyle name="20% - akcent 3 3 9 5 3" xfId="5775"/>
    <cellStyle name="20% - akcent 3 3 9 5 3 2" xfId="5776"/>
    <cellStyle name="20% - akcent 3 3 9 5 4" xfId="5777"/>
    <cellStyle name="20% - akcent 3 3 9 6" xfId="5778"/>
    <cellStyle name="20% - akcent 3 3 9 6 2" xfId="5779"/>
    <cellStyle name="20% - akcent 3 3 9 7" xfId="5780"/>
    <cellStyle name="20% - akcent 3 3 9 7 2" xfId="5781"/>
    <cellStyle name="20% - akcent 3 3 9 8" xfId="5782"/>
    <cellStyle name="20% - akcent 3 4" xfId="5783"/>
    <cellStyle name="20% - akcent 3 5" xfId="5784"/>
    <cellStyle name="20% - akcent 3 6" xfId="5785"/>
    <cellStyle name="20% - akcent 4 2" xfId="5786"/>
    <cellStyle name="20% - akcent 4 2 2" xfId="5787"/>
    <cellStyle name="20% - akcent 4 2 3" xfId="5788"/>
    <cellStyle name="20% - akcent 4 3" xfId="5789"/>
    <cellStyle name="20% - akcent 4 3 10" xfId="5790"/>
    <cellStyle name="20% - akcent 4 3 10 2" xfId="5791"/>
    <cellStyle name="20% - akcent 4 3 10 2 2" xfId="5792"/>
    <cellStyle name="20% - akcent 4 3 10 2 2 2" xfId="5793"/>
    <cellStyle name="20% - akcent 4 3 10 2 2 2 2" xfId="5794"/>
    <cellStyle name="20% - akcent 4 3 10 2 2 3" xfId="5795"/>
    <cellStyle name="20% - akcent 4 3 10 2 2 3 2" xfId="5796"/>
    <cellStyle name="20% - akcent 4 3 10 2 2 4" xfId="5797"/>
    <cellStyle name="20% - akcent 4 3 10 2 3" xfId="5798"/>
    <cellStyle name="20% - akcent 4 3 10 2 3 2" xfId="5799"/>
    <cellStyle name="20% - akcent 4 3 10 2 4" xfId="5800"/>
    <cellStyle name="20% - akcent 4 3 10 2 4 2" xfId="5801"/>
    <cellStyle name="20% - akcent 4 3 10 2 5" xfId="5802"/>
    <cellStyle name="20% - akcent 4 3 10 3" xfId="5803"/>
    <cellStyle name="20% - akcent 4 3 10 3 2" xfId="5804"/>
    <cellStyle name="20% - akcent 4 3 10 3 2 2" xfId="5805"/>
    <cellStyle name="20% - akcent 4 3 10 3 3" xfId="5806"/>
    <cellStyle name="20% - akcent 4 3 10 3 3 2" xfId="5807"/>
    <cellStyle name="20% - akcent 4 3 10 3 4" xfId="5808"/>
    <cellStyle name="20% - akcent 4 3 10 4" xfId="5809"/>
    <cellStyle name="20% - akcent 4 3 10 4 2" xfId="5810"/>
    <cellStyle name="20% - akcent 4 3 10 5" xfId="5811"/>
    <cellStyle name="20% - akcent 4 3 10 5 2" xfId="5812"/>
    <cellStyle name="20% - akcent 4 3 10 6" xfId="5813"/>
    <cellStyle name="20% - akcent 4 3 11" xfId="5814"/>
    <cellStyle name="20% - akcent 4 3 11 2" xfId="5815"/>
    <cellStyle name="20% - akcent 4 3 11 2 2" xfId="5816"/>
    <cellStyle name="20% - akcent 4 3 11 2 2 2" xfId="5817"/>
    <cellStyle name="20% - akcent 4 3 11 2 3" xfId="5818"/>
    <cellStyle name="20% - akcent 4 3 11 2 3 2" xfId="5819"/>
    <cellStyle name="20% - akcent 4 3 11 2 4" xfId="5820"/>
    <cellStyle name="20% - akcent 4 3 11 3" xfId="5821"/>
    <cellStyle name="20% - akcent 4 3 11 3 2" xfId="5822"/>
    <cellStyle name="20% - akcent 4 3 11 4" xfId="5823"/>
    <cellStyle name="20% - akcent 4 3 11 4 2" xfId="5824"/>
    <cellStyle name="20% - akcent 4 3 11 5" xfId="5825"/>
    <cellStyle name="20% - akcent 4 3 12" xfId="5826"/>
    <cellStyle name="20% - akcent 4 3 12 2" xfId="5827"/>
    <cellStyle name="20% - akcent 4 3 12 2 2" xfId="5828"/>
    <cellStyle name="20% - akcent 4 3 12 2 2 2" xfId="5829"/>
    <cellStyle name="20% - akcent 4 3 12 2 3" xfId="5830"/>
    <cellStyle name="20% - akcent 4 3 12 2 3 2" xfId="5831"/>
    <cellStyle name="20% - akcent 4 3 12 2 4" xfId="5832"/>
    <cellStyle name="20% - akcent 4 3 12 3" xfId="5833"/>
    <cellStyle name="20% - akcent 4 3 12 3 2" xfId="5834"/>
    <cellStyle name="20% - akcent 4 3 12 4" xfId="5835"/>
    <cellStyle name="20% - akcent 4 3 12 4 2" xfId="5836"/>
    <cellStyle name="20% - akcent 4 3 12 5" xfId="5837"/>
    <cellStyle name="20% - akcent 4 3 13" xfId="5838"/>
    <cellStyle name="20% - akcent 4 3 13 2" xfId="5839"/>
    <cellStyle name="20% - akcent 4 3 13 2 2" xfId="5840"/>
    <cellStyle name="20% - akcent 4 3 13 2 2 2" xfId="5841"/>
    <cellStyle name="20% - akcent 4 3 13 2 3" xfId="5842"/>
    <cellStyle name="20% - akcent 4 3 13 2 3 2" xfId="5843"/>
    <cellStyle name="20% - akcent 4 3 13 2 4" xfId="5844"/>
    <cellStyle name="20% - akcent 4 3 13 3" xfId="5845"/>
    <cellStyle name="20% - akcent 4 3 13 3 2" xfId="5846"/>
    <cellStyle name="20% - akcent 4 3 13 4" xfId="5847"/>
    <cellStyle name="20% - akcent 4 3 13 4 2" xfId="5848"/>
    <cellStyle name="20% - akcent 4 3 13 5" xfId="5849"/>
    <cellStyle name="20% - akcent 4 3 14" xfId="5850"/>
    <cellStyle name="20% - akcent 4 3 14 2" xfId="5851"/>
    <cellStyle name="20% - akcent 4 3 14 2 2" xfId="5852"/>
    <cellStyle name="20% - akcent 4 3 14 3" xfId="5853"/>
    <cellStyle name="20% - akcent 4 3 14 3 2" xfId="5854"/>
    <cellStyle name="20% - akcent 4 3 14 4" xfId="5855"/>
    <cellStyle name="20% - akcent 4 3 15" xfId="5856"/>
    <cellStyle name="20% - akcent 4 3 15 2" xfId="5857"/>
    <cellStyle name="20% - akcent 4 3 15 2 2" xfId="5858"/>
    <cellStyle name="20% - akcent 4 3 15 3" xfId="5859"/>
    <cellStyle name="20% - akcent 4 3 15 3 2" xfId="5860"/>
    <cellStyle name="20% - akcent 4 3 15 4" xfId="5861"/>
    <cellStyle name="20% - akcent 4 3 16" xfId="5862"/>
    <cellStyle name="20% - akcent 4 3 16 2" xfId="5863"/>
    <cellStyle name="20% - akcent 4 3 17" xfId="5864"/>
    <cellStyle name="20% - akcent 4 3 17 2" xfId="5865"/>
    <cellStyle name="20% - akcent 4 3 18" xfId="5866"/>
    <cellStyle name="20% - akcent 4 3 18 2" xfId="5867"/>
    <cellStyle name="20% - akcent 4 3 19" xfId="5868"/>
    <cellStyle name="20% - akcent 4 3 2" xfId="5869"/>
    <cellStyle name="20% - akcent 4 3 2 10" xfId="5870"/>
    <cellStyle name="20% - akcent 4 3 2 10 2" xfId="5871"/>
    <cellStyle name="20% - akcent 4 3 2 10 2 2" xfId="5872"/>
    <cellStyle name="20% - akcent 4 3 2 10 2 2 2" xfId="5873"/>
    <cellStyle name="20% - akcent 4 3 2 10 2 3" xfId="5874"/>
    <cellStyle name="20% - akcent 4 3 2 10 2 3 2" xfId="5875"/>
    <cellStyle name="20% - akcent 4 3 2 10 2 4" xfId="5876"/>
    <cellStyle name="20% - akcent 4 3 2 10 3" xfId="5877"/>
    <cellStyle name="20% - akcent 4 3 2 10 3 2" xfId="5878"/>
    <cellStyle name="20% - akcent 4 3 2 10 4" xfId="5879"/>
    <cellStyle name="20% - akcent 4 3 2 10 4 2" xfId="5880"/>
    <cellStyle name="20% - akcent 4 3 2 10 5" xfId="5881"/>
    <cellStyle name="20% - akcent 4 3 2 11" xfId="5882"/>
    <cellStyle name="20% - akcent 4 3 2 11 2" xfId="5883"/>
    <cellStyle name="20% - akcent 4 3 2 11 2 2" xfId="5884"/>
    <cellStyle name="20% - akcent 4 3 2 11 3" xfId="5885"/>
    <cellStyle name="20% - akcent 4 3 2 11 3 2" xfId="5886"/>
    <cellStyle name="20% - akcent 4 3 2 11 4" xfId="5887"/>
    <cellStyle name="20% - akcent 4 3 2 12" xfId="5888"/>
    <cellStyle name="20% - akcent 4 3 2 12 2" xfId="5889"/>
    <cellStyle name="20% - akcent 4 3 2 12 2 2" xfId="5890"/>
    <cellStyle name="20% - akcent 4 3 2 12 3" xfId="5891"/>
    <cellStyle name="20% - akcent 4 3 2 12 3 2" xfId="5892"/>
    <cellStyle name="20% - akcent 4 3 2 12 4" xfId="5893"/>
    <cellStyle name="20% - akcent 4 3 2 13" xfId="5894"/>
    <cellStyle name="20% - akcent 4 3 2 13 2" xfId="5895"/>
    <cellStyle name="20% - akcent 4 3 2 14" xfId="5896"/>
    <cellStyle name="20% - akcent 4 3 2 14 2" xfId="5897"/>
    <cellStyle name="20% - akcent 4 3 2 15" xfId="5898"/>
    <cellStyle name="20% - akcent 4 3 2 15 2" xfId="5899"/>
    <cellStyle name="20% - akcent 4 3 2 16" xfId="5900"/>
    <cellStyle name="20% - akcent 4 3 2 2" xfId="5901"/>
    <cellStyle name="20% - akcent 4 3 2 2 10" xfId="5902"/>
    <cellStyle name="20% - akcent 4 3 2 2 10 2" xfId="5903"/>
    <cellStyle name="20% - akcent 4 3 2 2 11" xfId="5904"/>
    <cellStyle name="20% - akcent 4 3 2 2 11 2" xfId="5905"/>
    <cellStyle name="20% - akcent 4 3 2 2 12" xfId="5906"/>
    <cellStyle name="20% - akcent 4 3 2 2 2" xfId="5907"/>
    <cellStyle name="20% - akcent 4 3 2 2 2 10" xfId="5908"/>
    <cellStyle name="20% - akcent 4 3 2 2 2 2" xfId="5909"/>
    <cellStyle name="20% - akcent 4 3 2 2 2 2 2" xfId="5910"/>
    <cellStyle name="20% - akcent 4 3 2 2 2 2 2 2" xfId="5911"/>
    <cellStyle name="20% - akcent 4 3 2 2 2 2 2 2 2" xfId="5912"/>
    <cellStyle name="20% - akcent 4 3 2 2 2 2 2 2 2 2" xfId="5913"/>
    <cellStyle name="20% - akcent 4 3 2 2 2 2 2 2 3" xfId="5914"/>
    <cellStyle name="20% - akcent 4 3 2 2 2 2 2 2 3 2" xfId="5915"/>
    <cellStyle name="20% - akcent 4 3 2 2 2 2 2 2 4" xfId="5916"/>
    <cellStyle name="20% - akcent 4 3 2 2 2 2 2 3" xfId="5917"/>
    <cellStyle name="20% - akcent 4 3 2 2 2 2 2 3 2" xfId="5918"/>
    <cellStyle name="20% - akcent 4 3 2 2 2 2 2 4" xfId="5919"/>
    <cellStyle name="20% - akcent 4 3 2 2 2 2 2 4 2" xfId="5920"/>
    <cellStyle name="20% - akcent 4 3 2 2 2 2 2 5" xfId="5921"/>
    <cellStyle name="20% - akcent 4 3 2 2 2 2 3" xfId="5922"/>
    <cellStyle name="20% - akcent 4 3 2 2 2 2 3 2" xfId="5923"/>
    <cellStyle name="20% - akcent 4 3 2 2 2 2 3 2 2" xfId="5924"/>
    <cellStyle name="20% - akcent 4 3 2 2 2 2 3 2 2 2" xfId="5925"/>
    <cellStyle name="20% - akcent 4 3 2 2 2 2 3 2 3" xfId="5926"/>
    <cellStyle name="20% - akcent 4 3 2 2 2 2 3 2 3 2" xfId="5927"/>
    <cellStyle name="20% - akcent 4 3 2 2 2 2 3 2 4" xfId="5928"/>
    <cellStyle name="20% - akcent 4 3 2 2 2 2 3 3" xfId="5929"/>
    <cellStyle name="20% - akcent 4 3 2 2 2 2 3 3 2" xfId="5930"/>
    <cellStyle name="20% - akcent 4 3 2 2 2 2 3 4" xfId="5931"/>
    <cellStyle name="20% - akcent 4 3 2 2 2 2 3 4 2" xfId="5932"/>
    <cellStyle name="20% - akcent 4 3 2 2 2 2 3 5" xfId="5933"/>
    <cellStyle name="20% - akcent 4 3 2 2 2 2 4" xfId="5934"/>
    <cellStyle name="20% - akcent 4 3 2 2 2 2 4 2" xfId="5935"/>
    <cellStyle name="20% - akcent 4 3 2 2 2 2 4 2 2" xfId="5936"/>
    <cellStyle name="20% - akcent 4 3 2 2 2 2 4 2 2 2" xfId="5937"/>
    <cellStyle name="20% - akcent 4 3 2 2 2 2 4 2 3" xfId="5938"/>
    <cellStyle name="20% - akcent 4 3 2 2 2 2 4 2 3 2" xfId="5939"/>
    <cellStyle name="20% - akcent 4 3 2 2 2 2 4 2 4" xfId="5940"/>
    <cellStyle name="20% - akcent 4 3 2 2 2 2 4 3" xfId="5941"/>
    <cellStyle name="20% - akcent 4 3 2 2 2 2 4 3 2" xfId="5942"/>
    <cellStyle name="20% - akcent 4 3 2 2 2 2 4 4" xfId="5943"/>
    <cellStyle name="20% - akcent 4 3 2 2 2 2 4 4 2" xfId="5944"/>
    <cellStyle name="20% - akcent 4 3 2 2 2 2 4 5" xfId="5945"/>
    <cellStyle name="20% - akcent 4 3 2 2 2 2 5" xfId="5946"/>
    <cellStyle name="20% - akcent 4 3 2 2 2 2 5 2" xfId="5947"/>
    <cellStyle name="20% - akcent 4 3 2 2 2 2 5 2 2" xfId="5948"/>
    <cellStyle name="20% - akcent 4 3 2 2 2 2 5 3" xfId="5949"/>
    <cellStyle name="20% - akcent 4 3 2 2 2 2 5 3 2" xfId="5950"/>
    <cellStyle name="20% - akcent 4 3 2 2 2 2 5 4" xfId="5951"/>
    <cellStyle name="20% - akcent 4 3 2 2 2 2 6" xfId="5952"/>
    <cellStyle name="20% - akcent 4 3 2 2 2 2 6 2" xfId="5953"/>
    <cellStyle name="20% - akcent 4 3 2 2 2 2 7" xfId="5954"/>
    <cellStyle name="20% - akcent 4 3 2 2 2 2 7 2" xfId="5955"/>
    <cellStyle name="20% - akcent 4 3 2 2 2 2 8" xfId="5956"/>
    <cellStyle name="20% - akcent 4 3 2 2 2 3" xfId="5957"/>
    <cellStyle name="20% - akcent 4 3 2 2 2 3 2" xfId="5958"/>
    <cellStyle name="20% - akcent 4 3 2 2 2 3 2 2" xfId="5959"/>
    <cellStyle name="20% - akcent 4 3 2 2 2 3 2 2 2" xfId="5960"/>
    <cellStyle name="20% - akcent 4 3 2 2 2 3 2 2 2 2" xfId="5961"/>
    <cellStyle name="20% - akcent 4 3 2 2 2 3 2 2 3" xfId="5962"/>
    <cellStyle name="20% - akcent 4 3 2 2 2 3 2 2 3 2" xfId="5963"/>
    <cellStyle name="20% - akcent 4 3 2 2 2 3 2 2 4" xfId="5964"/>
    <cellStyle name="20% - akcent 4 3 2 2 2 3 2 3" xfId="5965"/>
    <cellStyle name="20% - akcent 4 3 2 2 2 3 2 3 2" xfId="5966"/>
    <cellStyle name="20% - akcent 4 3 2 2 2 3 2 4" xfId="5967"/>
    <cellStyle name="20% - akcent 4 3 2 2 2 3 2 4 2" xfId="5968"/>
    <cellStyle name="20% - akcent 4 3 2 2 2 3 2 5" xfId="5969"/>
    <cellStyle name="20% - akcent 4 3 2 2 2 3 3" xfId="5970"/>
    <cellStyle name="20% - akcent 4 3 2 2 2 3 3 2" xfId="5971"/>
    <cellStyle name="20% - akcent 4 3 2 2 2 3 3 2 2" xfId="5972"/>
    <cellStyle name="20% - akcent 4 3 2 2 2 3 3 2 2 2" xfId="5973"/>
    <cellStyle name="20% - akcent 4 3 2 2 2 3 3 2 3" xfId="5974"/>
    <cellStyle name="20% - akcent 4 3 2 2 2 3 3 2 3 2" xfId="5975"/>
    <cellStyle name="20% - akcent 4 3 2 2 2 3 3 2 4" xfId="5976"/>
    <cellStyle name="20% - akcent 4 3 2 2 2 3 3 3" xfId="5977"/>
    <cellStyle name="20% - akcent 4 3 2 2 2 3 3 3 2" xfId="5978"/>
    <cellStyle name="20% - akcent 4 3 2 2 2 3 3 4" xfId="5979"/>
    <cellStyle name="20% - akcent 4 3 2 2 2 3 3 4 2" xfId="5980"/>
    <cellStyle name="20% - akcent 4 3 2 2 2 3 3 5" xfId="5981"/>
    <cellStyle name="20% - akcent 4 3 2 2 2 3 4" xfId="5982"/>
    <cellStyle name="20% - akcent 4 3 2 2 2 3 4 2" xfId="5983"/>
    <cellStyle name="20% - akcent 4 3 2 2 2 3 4 2 2" xfId="5984"/>
    <cellStyle name="20% - akcent 4 3 2 2 2 3 4 2 2 2" xfId="5985"/>
    <cellStyle name="20% - akcent 4 3 2 2 2 3 4 2 3" xfId="5986"/>
    <cellStyle name="20% - akcent 4 3 2 2 2 3 4 2 3 2" xfId="5987"/>
    <cellStyle name="20% - akcent 4 3 2 2 2 3 4 2 4" xfId="5988"/>
    <cellStyle name="20% - akcent 4 3 2 2 2 3 4 3" xfId="5989"/>
    <cellStyle name="20% - akcent 4 3 2 2 2 3 4 3 2" xfId="5990"/>
    <cellStyle name="20% - akcent 4 3 2 2 2 3 4 4" xfId="5991"/>
    <cellStyle name="20% - akcent 4 3 2 2 2 3 4 4 2" xfId="5992"/>
    <cellStyle name="20% - akcent 4 3 2 2 2 3 4 5" xfId="5993"/>
    <cellStyle name="20% - akcent 4 3 2 2 2 3 5" xfId="5994"/>
    <cellStyle name="20% - akcent 4 3 2 2 2 3 5 2" xfId="5995"/>
    <cellStyle name="20% - akcent 4 3 2 2 2 3 5 2 2" xfId="5996"/>
    <cellStyle name="20% - akcent 4 3 2 2 2 3 5 3" xfId="5997"/>
    <cellStyle name="20% - akcent 4 3 2 2 2 3 5 3 2" xfId="5998"/>
    <cellStyle name="20% - akcent 4 3 2 2 2 3 5 4" xfId="5999"/>
    <cellStyle name="20% - akcent 4 3 2 2 2 3 6" xfId="6000"/>
    <cellStyle name="20% - akcent 4 3 2 2 2 3 6 2" xfId="6001"/>
    <cellStyle name="20% - akcent 4 3 2 2 2 3 7" xfId="6002"/>
    <cellStyle name="20% - akcent 4 3 2 2 2 3 7 2" xfId="6003"/>
    <cellStyle name="20% - akcent 4 3 2 2 2 3 8" xfId="6004"/>
    <cellStyle name="20% - akcent 4 3 2 2 2 4" xfId="6005"/>
    <cellStyle name="20% - akcent 4 3 2 2 2 4 2" xfId="6006"/>
    <cellStyle name="20% - akcent 4 3 2 2 2 4 2 2" xfId="6007"/>
    <cellStyle name="20% - akcent 4 3 2 2 2 4 2 2 2" xfId="6008"/>
    <cellStyle name="20% - akcent 4 3 2 2 2 4 2 3" xfId="6009"/>
    <cellStyle name="20% - akcent 4 3 2 2 2 4 2 3 2" xfId="6010"/>
    <cellStyle name="20% - akcent 4 3 2 2 2 4 2 4" xfId="6011"/>
    <cellStyle name="20% - akcent 4 3 2 2 2 4 3" xfId="6012"/>
    <cellStyle name="20% - akcent 4 3 2 2 2 4 3 2" xfId="6013"/>
    <cellStyle name="20% - akcent 4 3 2 2 2 4 4" xfId="6014"/>
    <cellStyle name="20% - akcent 4 3 2 2 2 4 4 2" xfId="6015"/>
    <cellStyle name="20% - akcent 4 3 2 2 2 4 5" xfId="6016"/>
    <cellStyle name="20% - akcent 4 3 2 2 2 5" xfId="6017"/>
    <cellStyle name="20% - akcent 4 3 2 2 2 5 2" xfId="6018"/>
    <cellStyle name="20% - akcent 4 3 2 2 2 5 2 2" xfId="6019"/>
    <cellStyle name="20% - akcent 4 3 2 2 2 5 2 2 2" xfId="6020"/>
    <cellStyle name="20% - akcent 4 3 2 2 2 5 2 3" xfId="6021"/>
    <cellStyle name="20% - akcent 4 3 2 2 2 5 2 3 2" xfId="6022"/>
    <cellStyle name="20% - akcent 4 3 2 2 2 5 2 4" xfId="6023"/>
    <cellStyle name="20% - akcent 4 3 2 2 2 5 3" xfId="6024"/>
    <cellStyle name="20% - akcent 4 3 2 2 2 5 3 2" xfId="6025"/>
    <cellStyle name="20% - akcent 4 3 2 2 2 5 4" xfId="6026"/>
    <cellStyle name="20% - akcent 4 3 2 2 2 5 4 2" xfId="6027"/>
    <cellStyle name="20% - akcent 4 3 2 2 2 5 5" xfId="6028"/>
    <cellStyle name="20% - akcent 4 3 2 2 2 6" xfId="6029"/>
    <cellStyle name="20% - akcent 4 3 2 2 2 6 2" xfId="6030"/>
    <cellStyle name="20% - akcent 4 3 2 2 2 6 2 2" xfId="6031"/>
    <cellStyle name="20% - akcent 4 3 2 2 2 6 2 2 2" xfId="6032"/>
    <cellStyle name="20% - akcent 4 3 2 2 2 6 2 3" xfId="6033"/>
    <cellStyle name="20% - akcent 4 3 2 2 2 6 2 3 2" xfId="6034"/>
    <cellStyle name="20% - akcent 4 3 2 2 2 6 2 4" xfId="6035"/>
    <cellStyle name="20% - akcent 4 3 2 2 2 6 3" xfId="6036"/>
    <cellStyle name="20% - akcent 4 3 2 2 2 6 3 2" xfId="6037"/>
    <cellStyle name="20% - akcent 4 3 2 2 2 6 4" xfId="6038"/>
    <cellStyle name="20% - akcent 4 3 2 2 2 6 4 2" xfId="6039"/>
    <cellStyle name="20% - akcent 4 3 2 2 2 6 5" xfId="6040"/>
    <cellStyle name="20% - akcent 4 3 2 2 2 7" xfId="6041"/>
    <cellStyle name="20% - akcent 4 3 2 2 2 7 2" xfId="6042"/>
    <cellStyle name="20% - akcent 4 3 2 2 2 7 2 2" xfId="6043"/>
    <cellStyle name="20% - akcent 4 3 2 2 2 7 3" xfId="6044"/>
    <cellStyle name="20% - akcent 4 3 2 2 2 7 3 2" xfId="6045"/>
    <cellStyle name="20% - akcent 4 3 2 2 2 7 4" xfId="6046"/>
    <cellStyle name="20% - akcent 4 3 2 2 2 8" xfId="6047"/>
    <cellStyle name="20% - akcent 4 3 2 2 2 8 2" xfId="6048"/>
    <cellStyle name="20% - akcent 4 3 2 2 2 9" xfId="6049"/>
    <cellStyle name="20% - akcent 4 3 2 2 2 9 2" xfId="6050"/>
    <cellStyle name="20% - akcent 4 3 2 2 3" xfId="6051"/>
    <cellStyle name="20% - akcent 4 3 2 2 3 2" xfId="6052"/>
    <cellStyle name="20% - akcent 4 3 2 2 3 2 2" xfId="6053"/>
    <cellStyle name="20% - akcent 4 3 2 2 3 2 2 2" xfId="6054"/>
    <cellStyle name="20% - akcent 4 3 2 2 3 2 2 2 2" xfId="6055"/>
    <cellStyle name="20% - akcent 4 3 2 2 3 2 2 3" xfId="6056"/>
    <cellStyle name="20% - akcent 4 3 2 2 3 2 2 3 2" xfId="6057"/>
    <cellStyle name="20% - akcent 4 3 2 2 3 2 2 4" xfId="6058"/>
    <cellStyle name="20% - akcent 4 3 2 2 3 2 3" xfId="6059"/>
    <cellStyle name="20% - akcent 4 3 2 2 3 2 3 2" xfId="6060"/>
    <cellStyle name="20% - akcent 4 3 2 2 3 2 4" xfId="6061"/>
    <cellStyle name="20% - akcent 4 3 2 2 3 2 4 2" xfId="6062"/>
    <cellStyle name="20% - akcent 4 3 2 2 3 2 5" xfId="6063"/>
    <cellStyle name="20% - akcent 4 3 2 2 3 3" xfId="6064"/>
    <cellStyle name="20% - akcent 4 3 2 2 3 3 2" xfId="6065"/>
    <cellStyle name="20% - akcent 4 3 2 2 3 3 2 2" xfId="6066"/>
    <cellStyle name="20% - akcent 4 3 2 2 3 3 2 2 2" xfId="6067"/>
    <cellStyle name="20% - akcent 4 3 2 2 3 3 2 3" xfId="6068"/>
    <cellStyle name="20% - akcent 4 3 2 2 3 3 2 3 2" xfId="6069"/>
    <cellStyle name="20% - akcent 4 3 2 2 3 3 2 4" xfId="6070"/>
    <cellStyle name="20% - akcent 4 3 2 2 3 3 3" xfId="6071"/>
    <cellStyle name="20% - akcent 4 3 2 2 3 3 3 2" xfId="6072"/>
    <cellStyle name="20% - akcent 4 3 2 2 3 3 4" xfId="6073"/>
    <cellStyle name="20% - akcent 4 3 2 2 3 3 4 2" xfId="6074"/>
    <cellStyle name="20% - akcent 4 3 2 2 3 3 5" xfId="6075"/>
    <cellStyle name="20% - akcent 4 3 2 2 3 4" xfId="6076"/>
    <cellStyle name="20% - akcent 4 3 2 2 3 4 2" xfId="6077"/>
    <cellStyle name="20% - akcent 4 3 2 2 3 4 2 2" xfId="6078"/>
    <cellStyle name="20% - akcent 4 3 2 2 3 4 2 2 2" xfId="6079"/>
    <cellStyle name="20% - akcent 4 3 2 2 3 4 2 3" xfId="6080"/>
    <cellStyle name="20% - akcent 4 3 2 2 3 4 2 3 2" xfId="6081"/>
    <cellStyle name="20% - akcent 4 3 2 2 3 4 2 4" xfId="6082"/>
    <cellStyle name="20% - akcent 4 3 2 2 3 4 3" xfId="6083"/>
    <cellStyle name="20% - akcent 4 3 2 2 3 4 3 2" xfId="6084"/>
    <cellStyle name="20% - akcent 4 3 2 2 3 4 4" xfId="6085"/>
    <cellStyle name="20% - akcent 4 3 2 2 3 4 4 2" xfId="6086"/>
    <cellStyle name="20% - akcent 4 3 2 2 3 4 5" xfId="6087"/>
    <cellStyle name="20% - akcent 4 3 2 2 3 5" xfId="6088"/>
    <cellStyle name="20% - akcent 4 3 2 2 3 5 2" xfId="6089"/>
    <cellStyle name="20% - akcent 4 3 2 2 3 5 2 2" xfId="6090"/>
    <cellStyle name="20% - akcent 4 3 2 2 3 5 3" xfId="6091"/>
    <cellStyle name="20% - akcent 4 3 2 2 3 5 3 2" xfId="6092"/>
    <cellStyle name="20% - akcent 4 3 2 2 3 5 4" xfId="6093"/>
    <cellStyle name="20% - akcent 4 3 2 2 3 6" xfId="6094"/>
    <cellStyle name="20% - akcent 4 3 2 2 3 6 2" xfId="6095"/>
    <cellStyle name="20% - akcent 4 3 2 2 3 7" xfId="6096"/>
    <cellStyle name="20% - akcent 4 3 2 2 3 7 2" xfId="6097"/>
    <cellStyle name="20% - akcent 4 3 2 2 3 8" xfId="6098"/>
    <cellStyle name="20% - akcent 4 3 2 2 4" xfId="6099"/>
    <cellStyle name="20% - akcent 4 3 2 2 4 2" xfId="6100"/>
    <cellStyle name="20% - akcent 4 3 2 2 4 2 2" xfId="6101"/>
    <cellStyle name="20% - akcent 4 3 2 2 4 2 2 2" xfId="6102"/>
    <cellStyle name="20% - akcent 4 3 2 2 4 2 2 2 2" xfId="6103"/>
    <cellStyle name="20% - akcent 4 3 2 2 4 2 2 3" xfId="6104"/>
    <cellStyle name="20% - akcent 4 3 2 2 4 2 2 3 2" xfId="6105"/>
    <cellStyle name="20% - akcent 4 3 2 2 4 2 2 4" xfId="6106"/>
    <cellStyle name="20% - akcent 4 3 2 2 4 2 3" xfId="6107"/>
    <cellStyle name="20% - akcent 4 3 2 2 4 2 3 2" xfId="6108"/>
    <cellStyle name="20% - akcent 4 3 2 2 4 2 4" xfId="6109"/>
    <cellStyle name="20% - akcent 4 3 2 2 4 2 4 2" xfId="6110"/>
    <cellStyle name="20% - akcent 4 3 2 2 4 2 5" xfId="6111"/>
    <cellStyle name="20% - akcent 4 3 2 2 4 3" xfId="6112"/>
    <cellStyle name="20% - akcent 4 3 2 2 4 3 2" xfId="6113"/>
    <cellStyle name="20% - akcent 4 3 2 2 4 3 2 2" xfId="6114"/>
    <cellStyle name="20% - akcent 4 3 2 2 4 3 2 2 2" xfId="6115"/>
    <cellStyle name="20% - akcent 4 3 2 2 4 3 2 3" xfId="6116"/>
    <cellStyle name="20% - akcent 4 3 2 2 4 3 2 3 2" xfId="6117"/>
    <cellStyle name="20% - akcent 4 3 2 2 4 3 2 4" xfId="6118"/>
    <cellStyle name="20% - akcent 4 3 2 2 4 3 3" xfId="6119"/>
    <cellStyle name="20% - akcent 4 3 2 2 4 3 3 2" xfId="6120"/>
    <cellStyle name="20% - akcent 4 3 2 2 4 3 4" xfId="6121"/>
    <cellStyle name="20% - akcent 4 3 2 2 4 3 4 2" xfId="6122"/>
    <cellStyle name="20% - akcent 4 3 2 2 4 3 5" xfId="6123"/>
    <cellStyle name="20% - akcent 4 3 2 2 4 4" xfId="6124"/>
    <cellStyle name="20% - akcent 4 3 2 2 4 4 2" xfId="6125"/>
    <cellStyle name="20% - akcent 4 3 2 2 4 4 2 2" xfId="6126"/>
    <cellStyle name="20% - akcent 4 3 2 2 4 4 2 2 2" xfId="6127"/>
    <cellStyle name="20% - akcent 4 3 2 2 4 4 2 3" xfId="6128"/>
    <cellStyle name="20% - akcent 4 3 2 2 4 4 2 3 2" xfId="6129"/>
    <cellStyle name="20% - akcent 4 3 2 2 4 4 2 4" xfId="6130"/>
    <cellStyle name="20% - akcent 4 3 2 2 4 4 3" xfId="6131"/>
    <cellStyle name="20% - akcent 4 3 2 2 4 4 3 2" xfId="6132"/>
    <cellStyle name="20% - akcent 4 3 2 2 4 4 4" xfId="6133"/>
    <cellStyle name="20% - akcent 4 3 2 2 4 4 4 2" xfId="6134"/>
    <cellStyle name="20% - akcent 4 3 2 2 4 4 5" xfId="6135"/>
    <cellStyle name="20% - akcent 4 3 2 2 4 5" xfId="6136"/>
    <cellStyle name="20% - akcent 4 3 2 2 4 5 2" xfId="6137"/>
    <cellStyle name="20% - akcent 4 3 2 2 4 5 2 2" xfId="6138"/>
    <cellStyle name="20% - akcent 4 3 2 2 4 5 3" xfId="6139"/>
    <cellStyle name="20% - akcent 4 3 2 2 4 5 3 2" xfId="6140"/>
    <cellStyle name="20% - akcent 4 3 2 2 4 5 4" xfId="6141"/>
    <cellStyle name="20% - akcent 4 3 2 2 4 6" xfId="6142"/>
    <cellStyle name="20% - akcent 4 3 2 2 4 6 2" xfId="6143"/>
    <cellStyle name="20% - akcent 4 3 2 2 4 7" xfId="6144"/>
    <cellStyle name="20% - akcent 4 3 2 2 4 7 2" xfId="6145"/>
    <cellStyle name="20% - akcent 4 3 2 2 4 8" xfId="6146"/>
    <cellStyle name="20% - akcent 4 3 2 2 5" xfId="6147"/>
    <cellStyle name="20% - akcent 4 3 2 2 5 2" xfId="6148"/>
    <cellStyle name="20% - akcent 4 3 2 2 5 2 2" xfId="6149"/>
    <cellStyle name="20% - akcent 4 3 2 2 5 2 2 2" xfId="6150"/>
    <cellStyle name="20% - akcent 4 3 2 2 5 2 2 2 2" xfId="6151"/>
    <cellStyle name="20% - akcent 4 3 2 2 5 2 2 3" xfId="6152"/>
    <cellStyle name="20% - akcent 4 3 2 2 5 2 2 3 2" xfId="6153"/>
    <cellStyle name="20% - akcent 4 3 2 2 5 2 2 4" xfId="6154"/>
    <cellStyle name="20% - akcent 4 3 2 2 5 2 3" xfId="6155"/>
    <cellStyle name="20% - akcent 4 3 2 2 5 2 3 2" xfId="6156"/>
    <cellStyle name="20% - akcent 4 3 2 2 5 2 4" xfId="6157"/>
    <cellStyle name="20% - akcent 4 3 2 2 5 2 4 2" xfId="6158"/>
    <cellStyle name="20% - akcent 4 3 2 2 5 2 5" xfId="6159"/>
    <cellStyle name="20% - akcent 4 3 2 2 5 3" xfId="6160"/>
    <cellStyle name="20% - akcent 4 3 2 2 5 3 2" xfId="6161"/>
    <cellStyle name="20% - akcent 4 3 2 2 5 3 2 2" xfId="6162"/>
    <cellStyle name="20% - akcent 4 3 2 2 5 3 3" xfId="6163"/>
    <cellStyle name="20% - akcent 4 3 2 2 5 3 3 2" xfId="6164"/>
    <cellStyle name="20% - akcent 4 3 2 2 5 3 4" xfId="6165"/>
    <cellStyle name="20% - akcent 4 3 2 2 5 4" xfId="6166"/>
    <cellStyle name="20% - akcent 4 3 2 2 5 4 2" xfId="6167"/>
    <cellStyle name="20% - akcent 4 3 2 2 5 5" xfId="6168"/>
    <cellStyle name="20% - akcent 4 3 2 2 5 5 2" xfId="6169"/>
    <cellStyle name="20% - akcent 4 3 2 2 5 6" xfId="6170"/>
    <cellStyle name="20% - akcent 4 3 2 2 6" xfId="6171"/>
    <cellStyle name="20% - akcent 4 3 2 2 6 2" xfId="6172"/>
    <cellStyle name="20% - akcent 4 3 2 2 6 2 2" xfId="6173"/>
    <cellStyle name="20% - akcent 4 3 2 2 6 2 2 2" xfId="6174"/>
    <cellStyle name="20% - akcent 4 3 2 2 6 2 3" xfId="6175"/>
    <cellStyle name="20% - akcent 4 3 2 2 6 2 3 2" xfId="6176"/>
    <cellStyle name="20% - akcent 4 3 2 2 6 2 4" xfId="6177"/>
    <cellStyle name="20% - akcent 4 3 2 2 6 3" xfId="6178"/>
    <cellStyle name="20% - akcent 4 3 2 2 6 3 2" xfId="6179"/>
    <cellStyle name="20% - akcent 4 3 2 2 6 4" xfId="6180"/>
    <cellStyle name="20% - akcent 4 3 2 2 6 4 2" xfId="6181"/>
    <cellStyle name="20% - akcent 4 3 2 2 6 5" xfId="6182"/>
    <cellStyle name="20% - akcent 4 3 2 2 7" xfId="6183"/>
    <cellStyle name="20% - akcent 4 3 2 2 7 2" xfId="6184"/>
    <cellStyle name="20% - akcent 4 3 2 2 7 2 2" xfId="6185"/>
    <cellStyle name="20% - akcent 4 3 2 2 7 2 2 2" xfId="6186"/>
    <cellStyle name="20% - akcent 4 3 2 2 7 2 3" xfId="6187"/>
    <cellStyle name="20% - akcent 4 3 2 2 7 2 3 2" xfId="6188"/>
    <cellStyle name="20% - akcent 4 3 2 2 7 2 4" xfId="6189"/>
    <cellStyle name="20% - akcent 4 3 2 2 7 3" xfId="6190"/>
    <cellStyle name="20% - akcent 4 3 2 2 7 3 2" xfId="6191"/>
    <cellStyle name="20% - akcent 4 3 2 2 7 4" xfId="6192"/>
    <cellStyle name="20% - akcent 4 3 2 2 7 4 2" xfId="6193"/>
    <cellStyle name="20% - akcent 4 3 2 2 7 5" xfId="6194"/>
    <cellStyle name="20% - akcent 4 3 2 2 8" xfId="6195"/>
    <cellStyle name="20% - akcent 4 3 2 2 8 2" xfId="6196"/>
    <cellStyle name="20% - akcent 4 3 2 2 8 2 2" xfId="6197"/>
    <cellStyle name="20% - akcent 4 3 2 2 8 2 2 2" xfId="6198"/>
    <cellStyle name="20% - akcent 4 3 2 2 8 2 3" xfId="6199"/>
    <cellStyle name="20% - akcent 4 3 2 2 8 2 3 2" xfId="6200"/>
    <cellStyle name="20% - akcent 4 3 2 2 8 2 4" xfId="6201"/>
    <cellStyle name="20% - akcent 4 3 2 2 8 3" xfId="6202"/>
    <cellStyle name="20% - akcent 4 3 2 2 8 3 2" xfId="6203"/>
    <cellStyle name="20% - akcent 4 3 2 2 8 4" xfId="6204"/>
    <cellStyle name="20% - akcent 4 3 2 2 8 4 2" xfId="6205"/>
    <cellStyle name="20% - akcent 4 3 2 2 8 5" xfId="6206"/>
    <cellStyle name="20% - akcent 4 3 2 2 9" xfId="6207"/>
    <cellStyle name="20% - akcent 4 3 2 2 9 2" xfId="6208"/>
    <cellStyle name="20% - akcent 4 3 2 2 9 2 2" xfId="6209"/>
    <cellStyle name="20% - akcent 4 3 2 2 9 3" xfId="6210"/>
    <cellStyle name="20% - akcent 4 3 2 2 9 3 2" xfId="6211"/>
    <cellStyle name="20% - akcent 4 3 2 2 9 4" xfId="6212"/>
    <cellStyle name="20% - akcent 4 3 2 3" xfId="6213"/>
    <cellStyle name="20% - akcent 4 3 2 3 10" xfId="6214"/>
    <cellStyle name="20% - akcent 4 3 2 3 10 2" xfId="6215"/>
    <cellStyle name="20% - akcent 4 3 2 3 11" xfId="6216"/>
    <cellStyle name="20% - akcent 4 3 2 3 2" xfId="6217"/>
    <cellStyle name="20% - akcent 4 3 2 3 2 2" xfId="6218"/>
    <cellStyle name="20% - akcent 4 3 2 3 2 2 2" xfId="6219"/>
    <cellStyle name="20% - akcent 4 3 2 3 2 2 2 2" xfId="6220"/>
    <cellStyle name="20% - akcent 4 3 2 3 2 2 2 2 2" xfId="6221"/>
    <cellStyle name="20% - akcent 4 3 2 3 2 2 2 3" xfId="6222"/>
    <cellStyle name="20% - akcent 4 3 2 3 2 2 2 3 2" xfId="6223"/>
    <cellStyle name="20% - akcent 4 3 2 3 2 2 2 4" xfId="6224"/>
    <cellStyle name="20% - akcent 4 3 2 3 2 2 3" xfId="6225"/>
    <cellStyle name="20% - akcent 4 3 2 3 2 2 3 2" xfId="6226"/>
    <cellStyle name="20% - akcent 4 3 2 3 2 2 4" xfId="6227"/>
    <cellStyle name="20% - akcent 4 3 2 3 2 2 4 2" xfId="6228"/>
    <cellStyle name="20% - akcent 4 3 2 3 2 2 5" xfId="6229"/>
    <cellStyle name="20% - akcent 4 3 2 3 2 3" xfId="6230"/>
    <cellStyle name="20% - akcent 4 3 2 3 2 3 2" xfId="6231"/>
    <cellStyle name="20% - akcent 4 3 2 3 2 3 2 2" xfId="6232"/>
    <cellStyle name="20% - akcent 4 3 2 3 2 3 2 2 2" xfId="6233"/>
    <cellStyle name="20% - akcent 4 3 2 3 2 3 2 3" xfId="6234"/>
    <cellStyle name="20% - akcent 4 3 2 3 2 3 2 3 2" xfId="6235"/>
    <cellStyle name="20% - akcent 4 3 2 3 2 3 2 4" xfId="6236"/>
    <cellStyle name="20% - akcent 4 3 2 3 2 3 3" xfId="6237"/>
    <cellStyle name="20% - akcent 4 3 2 3 2 3 3 2" xfId="6238"/>
    <cellStyle name="20% - akcent 4 3 2 3 2 3 4" xfId="6239"/>
    <cellStyle name="20% - akcent 4 3 2 3 2 3 4 2" xfId="6240"/>
    <cellStyle name="20% - akcent 4 3 2 3 2 3 5" xfId="6241"/>
    <cellStyle name="20% - akcent 4 3 2 3 2 4" xfId="6242"/>
    <cellStyle name="20% - akcent 4 3 2 3 2 4 2" xfId="6243"/>
    <cellStyle name="20% - akcent 4 3 2 3 2 4 2 2" xfId="6244"/>
    <cellStyle name="20% - akcent 4 3 2 3 2 4 2 2 2" xfId="6245"/>
    <cellStyle name="20% - akcent 4 3 2 3 2 4 2 3" xfId="6246"/>
    <cellStyle name="20% - akcent 4 3 2 3 2 4 2 3 2" xfId="6247"/>
    <cellStyle name="20% - akcent 4 3 2 3 2 4 2 4" xfId="6248"/>
    <cellStyle name="20% - akcent 4 3 2 3 2 4 3" xfId="6249"/>
    <cellStyle name="20% - akcent 4 3 2 3 2 4 3 2" xfId="6250"/>
    <cellStyle name="20% - akcent 4 3 2 3 2 4 4" xfId="6251"/>
    <cellStyle name="20% - akcent 4 3 2 3 2 4 4 2" xfId="6252"/>
    <cellStyle name="20% - akcent 4 3 2 3 2 4 5" xfId="6253"/>
    <cellStyle name="20% - akcent 4 3 2 3 2 5" xfId="6254"/>
    <cellStyle name="20% - akcent 4 3 2 3 2 5 2" xfId="6255"/>
    <cellStyle name="20% - akcent 4 3 2 3 2 5 2 2" xfId="6256"/>
    <cellStyle name="20% - akcent 4 3 2 3 2 5 3" xfId="6257"/>
    <cellStyle name="20% - akcent 4 3 2 3 2 5 3 2" xfId="6258"/>
    <cellStyle name="20% - akcent 4 3 2 3 2 5 4" xfId="6259"/>
    <cellStyle name="20% - akcent 4 3 2 3 2 6" xfId="6260"/>
    <cellStyle name="20% - akcent 4 3 2 3 2 6 2" xfId="6261"/>
    <cellStyle name="20% - akcent 4 3 2 3 2 7" xfId="6262"/>
    <cellStyle name="20% - akcent 4 3 2 3 2 7 2" xfId="6263"/>
    <cellStyle name="20% - akcent 4 3 2 3 2 8" xfId="6264"/>
    <cellStyle name="20% - akcent 4 3 2 3 3" xfId="6265"/>
    <cellStyle name="20% - akcent 4 3 2 3 3 2" xfId="6266"/>
    <cellStyle name="20% - akcent 4 3 2 3 3 2 2" xfId="6267"/>
    <cellStyle name="20% - akcent 4 3 2 3 3 2 2 2" xfId="6268"/>
    <cellStyle name="20% - akcent 4 3 2 3 3 2 2 2 2" xfId="6269"/>
    <cellStyle name="20% - akcent 4 3 2 3 3 2 2 3" xfId="6270"/>
    <cellStyle name="20% - akcent 4 3 2 3 3 2 2 3 2" xfId="6271"/>
    <cellStyle name="20% - akcent 4 3 2 3 3 2 2 4" xfId="6272"/>
    <cellStyle name="20% - akcent 4 3 2 3 3 2 3" xfId="6273"/>
    <cellStyle name="20% - akcent 4 3 2 3 3 2 3 2" xfId="6274"/>
    <cellStyle name="20% - akcent 4 3 2 3 3 2 4" xfId="6275"/>
    <cellStyle name="20% - akcent 4 3 2 3 3 2 4 2" xfId="6276"/>
    <cellStyle name="20% - akcent 4 3 2 3 3 2 5" xfId="6277"/>
    <cellStyle name="20% - akcent 4 3 2 3 3 3" xfId="6278"/>
    <cellStyle name="20% - akcent 4 3 2 3 3 3 2" xfId="6279"/>
    <cellStyle name="20% - akcent 4 3 2 3 3 3 2 2" xfId="6280"/>
    <cellStyle name="20% - akcent 4 3 2 3 3 3 2 2 2" xfId="6281"/>
    <cellStyle name="20% - akcent 4 3 2 3 3 3 2 3" xfId="6282"/>
    <cellStyle name="20% - akcent 4 3 2 3 3 3 2 3 2" xfId="6283"/>
    <cellStyle name="20% - akcent 4 3 2 3 3 3 2 4" xfId="6284"/>
    <cellStyle name="20% - akcent 4 3 2 3 3 3 3" xfId="6285"/>
    <cellStyle name="20% - akcent 4 3 2 3 3 3 3 2" xfId="6286"/>
    <cellStyle name="20% - akcent 4 3 2 3 3 3 4" xfId="6287"/>
    <cellStyle name="20% - akcent 4 3 2 3 3 3 4 2" xfId="6288"/>
    <cellStyle name="20% - akcent 4 3 2 3 3 3 5" xfId="6289"/>
    <cellStyle name="20% - akcent 4 3 2 3 3 4" xfId="6290"/>
    <cellStyle name="20% - akcent 4 3 2 3 3 4 2" xfId="6291"/>
    <cellStyle name="20% - akcent 4 3 2 3 3 4 2 2" xfId="6292"/>
    <cellStyle name="20% - akcent 4 3 2 3 3 4 2 2 2" xfId="6293"/>
    <cellStyle name="20% - akcent 4 3 2 3 3 4 2 3" xfId="6294"/>
    <cellStyle name="20% - akcent 4 3 2 3 3 4 2 3 2" xfId="6295"/>
    <cellStyle name="20% - akcent 4 3 2 3 3 4 2 4" xfId="6296"/>
    <cellStyle name="20% - akcent 4 3 2 3 3 4 3" xfId="6297"/>
    <cellStyle name="20% - akcent 4 3 2 3 3 4 3 2" xfId="6298"/>
    <cellStyle name="20% - akcent 4 3 2 3 3 4 4" xfId="6299"/>
    <cellStyle name="20% - akcent 4 3 2 3 3 4 4 2" xfId="6300"/>
    <cellStyle name="20% - akcent 4 3 2 3 3 4 5" xfId="6301"/>
    <cellStyle name="20% - akcent 4 3 2 3 3 5" xfId="6302"/>
    <cellStyle name="20% - akcent 4 3 2 3 3 5 2" xfId="6303"/>
    <cellStyle name="20% - akcent 4 3 2 3 3 5 2 2" xfId="6304"/>
    <cellStyle name="20% - akcent 4 3 2 3 3 5 3" xfId="6305"/>
    <cellStyle name="20% - akcent 4 3 2 3 3 5 3 2" xfId="6306"/>
    <cellStyle name="20% - akcent 4 3 2 3 3 5 4" xfId="6307"/>
    <cellStyle name="20% - akcent 4 3 2 3 3 6" xfId="6308"/>
    <cellStyle name="20% - akcent 4 3 2 3 3 6 2" xfId="6309"/>
    <cellStyle name="20% - akcent 4 3 2 3 3 7" xfId="6310"/>
    <cellStyle name="20% - akcent 4 3 2 3 3 7 2" xfId="6311"/>
    <cellStyle name="20% - akcent 4 3 2 3 3 8" xfId="6312"/>
    <cellStyle name="20% - akcent 4 3 2 3 4" xfId="6313"/>
    <cellStyle name="20% - akcent 4 3 2 3 4 2" xfId="6314"/>
    <cellStyle name="20% - akcent 4 3 2 3 4 2 2" xfId="6315"/>
    <cellStyle name="20% - akcent 4 3 2 3 4 2 2 2" xfId="6316"/>
    <cellStyle name="20% - akcent 4 3 2 3 4 2 2 2 2" xfId="6317"/>
    <cellStyle name="20% - akcent 4 3 2 3 4 2 2 3" xfId="6318"/>
    <cellStyle name="20% - akcent 4 3 2 3 4 2 2 3 2" xfId="6319"/>
    <cellStyle name="20% - akcent 4 3 2 3 4 2 2 4" xfId="6320"/>
    <cellStyle name="20% - akcent 4 3 2 3 4 2 3" xfId="6321"/>
    <cellStyle name="20% - akcent 4 3 2 3 4 2 3 2" xfId="6322"/>
    <cellStyle name="20% - akcent 4 3 2 3 4 2 4" xfId="6323"/>
    <cellStyle name="20% - akcent 4 3 2 3 4 2 4 2" xfId="6324"/>
    <cellStyle name="20% - akcent 4 3 2 3 4 2 5" xfId="6325"/>
    <cellStyle name="20% - akcent 4 3 2 3 4 3" xfId="6326"/>
    <cellStyle name="20% - akcent 4 3 2 3 4 3 2" xfId="6327"/>
    <cellStyle name="20% - akcent 4 3 2 3 4 3 2 2" xfId="6328"/>
    <cellStyle name="20% - akcent 4 3 2 3 4 3 3" xfId="6329"/>
    <cellStyle name="20% - akcent 4 3 2 3 4 3 3 2" xfId="6330"/>
    <cellStyle name="20% - akcent 4 3 2 3 4 3 4" xfId="6331"/>
    <cellStyle name="20% - akcent 4 3 2 3 4 4" xfId="6332"/>
    <cellStyle name="20% - akcent 4 3 2 3 4 4 2" xfId="6333"/>
    <cellStyle name="20% - akcent 4 3 2 3 4 5" xfId="6334"/>
    <cellStyle name="20% - akcent 4 3 2 3 4 5 2" xfId="6335"/>
    <cellStyle name="20% - akcent 4 3 2 3 4 6" xfId="6336"/>
    <cellStyle name="20% - akcent 4 3 2 3 5" xfId="6337"/>
    <cellStyle name="20% - akcent 4 3 2 3 5 2" xfId="6338"/>
    <cellStyle name="20% - akcent 4 3 2 3 5 2 2" xfId="6339"/>
    <cellStyle name="20% - akcent 4 3 2 3 5 2 2 2" xfId="6340"/>
    <cellStyle name="20% - akcent 4 3 2 3 5 2 3" xfId="6341"/>
    <cellStyle name="20% - akcent 4 3 2 3 5 2 3 2" xfId="6342"/>
    <cellStyle name="20% - akcent 4 3 2 3 5 2 4" xfId="6343"/>
    <cellStyle name="20% - akcent 4 3 2 3 5 3" xfId="6344"/>
    <cellStyle name="20% - akcent 4 3 2 3 5 3 2" xfId="6345"/>
    <cellStyle name="20% - akcent 4 3 2 3 5 4" xfId="6346"/>
    <cellStyle name="20% - akcent 4 3 2 3 5 4 2" xfId="6347"/>
    <cellStyle name="20% - akcent 4 3 2 3 5 5" xfId="6348"/>
    <cellStyle name="20% - akcent 4 3 2 3 6" xfId="6349"/>
    <cellStyle name="20% - akcent 4 3 2 3 6 2" xfId="6350"/>
    <cellStyle name="20% - akcent 4 3 2 3 6 2 2" xfId="6351"/>
    <cellStyle name="20% - akcent 4 3 2 3 6 2 2 2" xfId="6352"/>
    <cellStyle name="20% - akcent 4 3 2 3 6 2 3" xfId="6353"/>
    <cellStyle name="20% - akcent 4 3 2 3 6 2 3 2" xfId="6354"/>
    <cellStyle name="20% - akcent 4 3 2 3 6 2 4" xfId="6355"/>
    <cellStyle name="20% - akcent 4 3 2 3 6 3" xfId="6356"/>
    <cellStyle name="20% - akcent 4 3 2 3 6 3 2" xfId="6357"/>
    <cellStyle name="20% - akcent 4 3 2 3 6 4" xfId="6358"/>
    <cellStyle name="20% - akcent 4 3 2 3 6 4 2" xfId="6359"/>
    <cellStyle name="20% - akcent 4 3 2 3 6 5" xfId="6360"/>
    <cellStyle name="20% - akcent 4 3 2 3 7" xfId="6361"/>
    <cellStyle name="20% - akcent 4 3 2 3 7 2" xfId="6362"/>
    <cellStyle name="20% - akcent 4 3 2 3 7 2 2" xfId="6363"/>
    <cellStyle name="20% - akcent 4 3 2 3 7 2 2 2" xfId="6364"/>
    <cellStyle name="20% - akcent 4 3 2 3 7 2 3" xfId="6365"/>
    <cellStyle name="20% - akcent 4 3 2 3 7 2 3 2" xfId="6366"/>
    <cellStyle name="20% - akcent 4 3 2 3 7 2 4" xfId="6367"/>
    <cellStyle name="20% - akcent 4 3 2 3 7 3" xfId="6368"/>
    <cellStyle name="20% - akcent 4 3 2 3 7 3 2" xfId="6369"/>
    <cellStyle name="20% - akcent 4 3 2 3 7 4" xfId="6370"/>
    <cellStyle name="20% - akcent 4 3 2 3 7 4 2" xfId="6371"/>
    <cellStyle name="20% - akcent 4 3 2 3 7 5" xfId="6372"/>
    <cellStyle name="20% - akcent 4 3 2 3 8" xfId="6373"/>
    <cellStyle name="20% - akcent 4 3 2 3 8 2" xfId="6374"/>
    <cellStyle name="20% - akcent 4 3 2 3 8 2 2" xfId="6375"/>
    <cellStyle name="20% - akcent 4 3 2 3 8 3" xfId="6376"/>
    <cellStyle name="20% - akcent 4 3 2 3 8 3 2" xfId="6377"/>
    <cellStyle name="20% - akcent 4 3 2 3 8 4" xfId="6378"/>
    <cellStyle name="20% - akcent 4 3 2 3 9" xfId="6379"/>
    <cellStyle name="20% - akcent 4 3 2 3 9 2" xfId="6380"/>
    <cellStyle name="20% - akcent 4 3 2 4" xfId="6381"/>
    <cellStyle name="20% - akcent 4 3 2 4 10" xfId="6382"/>
    <cellStyle name="20% - akcent 4 3 2 4 2" xfId="6383"/>
    <cellStyle name="20% - akcent 4 3 2 4 2 2" xfId="6384"/>
    <cellStyle name="20% - akcent 4 3 2 4 2 2 2" xfId="6385"/>
    <cellStyle name="20% - akcent 4 3 2 4 2 2 2 2" xfId="6386"/>
    <cellStyle name="20% - akcent 4 3 2 4 2 2 2 2 2" xfId="6387"/>
    <cellStyle name="20% - akcent 4 3 2 4 2 2 2 3" xfId="6388"/>
    <cellStyle name="20% - akcent 4 3 2 4 2 2 2 3 2" xfId="6389"/>
    <cellStyle name="20% - akcent 4 3 2 4 2 2 2 4" xfId="6390"/>
    <cellStyle name="20% - akcent 4 3 2 4 2 2 3" xfId="6391"/>
    <cellStyle name="20% - akcent 4 3 2 4 2 2 3 2" xfId="6392"/>
    <cellStyle name="20% - akcent 4 3 2 4 2 2 4" xfId="6393"/>
    <cellStyle name="20% - akcent 4 3 2 4 2 2 4 2" xfId="6394"/>
    <cellStyle name="20% - akcent 4 3 2 4 2 2 5" xfId="6395"/>
    <cellStyle name="20% - akcent 4 3 2 4 2 3" xfId="6396"/>
    <cellStyle name="20% - akcent 4 3 2 4 2 3 2" xfId="6397"/>
    <cellStyle name="20% - akcent 4 3 2 4 2 3 2 2" xfId="6398"/>
    <cellStyle name="20% - akcent 4 3 2 4 2 3 2 2 2" xfId="6399"/>
    <cellStyle name="20% - akcent 4 3 2 4 2 3 2 3" xfId="6400"/>
    <cellStyle name="20% - akcent 4 3 2 4 2 3 2 3 2" xfId="6401"/>
    <cellStyle name="20% - akcent 4 3 2 4 2 3 2 4" xfId="6402"/>
    <cellStyle name="20% - akcent 4 3 2 4 2 3 3" xfId="6403"/>
    <cellStyle name="20% - akcent 4 3 2 4 2 3 3 2" xfId="6404"/>
    <cellStyle name="20% - akcent 4 3 2 4 2 3 4" xfId="6405"/>
    <cellStyle name="20% - akcent 4 3 2 4 2 3 4 2" xfId="6406"/>
    <cellStyle name="20% - akcent 4 3 2 4 2 3 5" xfId="6407"/>
    <cellStyle name="20% - akcent 4 3 2 4 2 4" xfId="6408"/>
    <cellStyle name="20% - akcent 4 3 2 4 2 4 2" xfId="6409"/>
    <cellStyle name="20% - akcent 4 3 2 4 2 4 2 2" xfId="6410"/>
    <cellStyle name="20% - akcent 4 3 2 4 2 4 2 2 2" xfId="6411"/>
    <cellStyle name="20% - akcent 4 3 2 4 2 4 2 3" xfId="6412"/>
    <cellStyle name="20% - akcent 4 3 2 4 2 4 2 3 2" xfId="6413"/>
    <cellStyle name="20% - akcent 4 3 2 4 2 4 2 4" xfId="6414"/>
    <cellStyle name="20% - akcent 4 3 2 4 2 4 3" xfId="6415"/>
    <cellStyle name="20% - akcent 4 3 2 4 2 4 3 2" xfId="6416"/>
    <cellStyle name="20% - akcent 4 3 2 4 2 4 4" xfId="6417"/>
    <cellStyle name="20% - akcent 4 3 2 4 2 4 4 2" xfId="6418"/>
    <cellStyle name="20% - akcent 4 3 2 4 2 4 5" xfId="6419"/>
    <cellStyle name="20% - akcent 4 3 2 4 2 5" xfId="6420"/>
    <cellStyle name="20% - akcent 4 3 2 4 2 5 2" xfId="6421"/>
    <cellStyle name="20% - akcent 4 3 2 4 2 5 2 2" xfId="6422"/>
    <cellStyle name="20% - akcent 4 3 2 4 2 5 3" xfId="6423"/>
    <cellStyle name="20% - akcent 4 3 2 4 2 5 3 2" xfId="6424"/>
    <cellStyle name="20% - akcent 4 3 2 4 2 5 4" xfId="6425"/>
    <cellStyle name="20% - akcent 4 3 2 4 2 6" xfId="6426"/>
    <cellStyle name="20% - akcent 4 3 2 4 2 6 2" xfId="6427"/>
    <cellStyle name="20% - akcent 4 3 2 4 2 7" xfId="6428"/>
    <cellStyle name="20% - akcent 4 3 2 4 2 7 2" xfId="6429"/>
    <cellStyle name="20% - akcent 4 3 2 4 2 8" xfId="6430"/>
    <cellStyle name="20% - akcent 4 3 2 4 3" xfId="6431"/>
    <cellStyle name="20% - akcent 4 3 2 4 3 2" xfId="6432"/>
    <cellStyle name="20% - akcent 4 3 2 4 3 2 2" xfId="6433"/>
    <cellStyle name="20% - akcent 4 3 2 4 3 2 2 2" xfId="6434"/>
    <cellStyle name="20% - akcent 4 3 2 4 3 2 2 2 2" xfId="6435"/>
    <cellStyle name="20% - akcent 4 3 2 4 3 2 2 3" xfId="6436"/>
    <cellStyle name="20% - akcent 4 3 2 4 3 2 2 3 2" xfId="6437"/>
    <cellStyle name="20% - akcent 4 3 2 4 3 2 2 4" xfId="6438"/>
    <cellStyle name="20% - akcent 4 3 2 4 3 2 3" xfId="6439"/>
    <cellStyle name="20% - akcent 4 3 2 4 3 2 3 2" xfId="6440"/>
    <cellStyle name="20% - akcent 4 3 2 4 3 2 4" xfId="6441"/>
    <cellStyle name="20% - akcent 4 3 2 4 3 2 4 2" xfId="6442"/>
    <cellStyle name="20% - akcent 4 3 2 4 3 2 5" xfId="6443"/>
    <cellStyle name="20% - akcent 4 3 2 4 3 3" xfId="6444"/>
    <cellStyle name="20% - akcent 4 3 2 4 3 3 2" xfId="6445"/>
    <cellStyle name="20% - akcent 4 3 2 4 3 3 2 2" xfId="6446"/>
    <cellStyle name="20% - akcent 4 3 2 4 3 3 2 2 2" xfId="6447"/>
    <cellStyle name="20% - akcent 4 3 2 4 3 3 2 3" xfId="6448"/>
    <cellStyle name="20% - akcent 4 3 2 4 3 3 2 3 2" xfId="6449"/>
    <cellStyle name="20% - akcent 4 3 2 4 3 3 2 4" xfId="6450"/>
    <cellStyle name="20% - akcent 4 3 2 4 3 3 3" xfId="6451"/>
    <cellStyle name="20% - akcent 4 3 2 4 3 3 3 2" xfId="6452"/>
    <cellStyle name="20% - akcent 4 3 2 4 3 3 4" xfId="6453"/>
    <cellStyle name="20% - akcent 4 3 2 4 3 3 4 2" xfId="6454"/>
    <cellStyle name="20% - akcent 4 3 2 4 3 3 5" xfId="6455"/>
    <cellStyle name="20% - akcent 4 3 2 4 3 4" xfId="6456"/>
    <cellStyle name="20% - akcent 4 3 2 4 3 4 2" xfId="6457"/>
    <cellStyle name="20% - akcent 4 3 2 4 3 4 2 2" xfId="6458"/>
    <cellStyle name="20% - akcent 4 3 2 4 3 4 2 2 2" xfId="6459"/>
    <cellStyle name="20% - akcent 4 3 2 4 3 4 2 3" xfId="6460"/>
    <cellStyle name="20% - akcent 4 3 2 4 3 4 2 3 2" xfId="6461"/>
    <cellStyle name="20% - akcent 4 3 2 4 3 4 2 4" xfId="6462"/>
    <cellStyle name="20% - akcent 4 3 2 4 3 4 3" xfId="6463"/>
    <cellStyle name="20% - akcent 4 3 2 4 3 4 3 2" xfId="6464"/>
    <cellStyle name="20% - akcent 4 3 2 4 3 4 4" xfId="6465"/>
    <cellStyle name="20% - akcent 4 3 2 4 3 4 4 2" xfId="6466"/>
    <cellStyle name="20% - akcent 4 3 2 4 3 4 5" xfId="6467"/>
    <cellStyle name="20% - akcent 4 3 2 4 3 5" xfId="6468"/>
    <cellStyle name="20% - akcent 4 3 2 4 3 5 2" xfId="6469"/>
    <cellStyle name="20% - akcent 4 3 2 4 3 5 2 2" xfId="6470"/>
    <cellStyle name="20% - akcent 4 3 2 4 3 5 3" xfId="6471"/>
    <cellStyle name="20% - akcent 4 3 2 4 3 5 3 2" xfId="6472"/>
    <cellStyle name="20% - akcent 4 3 2 4 3 5 4" xfId="6473"/>
    <cellStyle name="20% - akcent 4 3 2 4 3 6" xfId="6474"/>
    <cellStyle name="20% - akcent 4 3 2 4 3 6 2" xfId="6475"/>
    <cellStyle name="20% - akcent 4 3 2 4 3 7" xfId="6476"/>
    <cellStyle name="20% - akcent 4 3 2 4 3 7 2" xfId="6477"/>
    <cellStyle name="20% - akcent 4 3 2 4 3 8" xfId="6478"/>
    <cellStyle name="20% - akcent 4 3 2 4 4" xfId="6479"/>
    <cellStyle name="20% - akcent 4 3 2 4 4 2" xfId="6480"/>
    <cellStyle name="20% - akcent 4 3 2 4 4 2 2" xfId="6481"/>
    <cellStyle name="20% - akcent 4 3 2 4 4 2 2 2" xfId="6482"/>
    <cellStyle name="20% - akcent 4 3 2 4 4 2 3" xfId="6483"/>
    <cellStyle name="20% - akcent 4 3 2 4 4 2 3 2" xfId="6484"/>
    <cellStyle name="20% - akcent 4 3 2 4 4 2 4" xfId="6485"/>
    <cellStyle name="20% - akcent 4 3 2 4 4 3" xfId="6486"/>
    <cellStyle name="20% - akcent 4 3 2 4 4 3 2" xfId="6487"/>
    <cellStyle name="20% - akcent 4 3 2 4 4 4" xfId="6488"/>
    <cellStyle name="20% - akcent 4 3 2 4 4 4 2" xfId="6489"/>
    <cellStyle name="20% - akcent 4 3 2 4 4 5" xfId="6490"/>
    <cellStyle name="20% - akcent 4 3 2 4 5" xfId="6491"/>
    <cellStyle name="20% - akcent 4 3 2 4 5 2" xfId="6492"/>
    <cellStyle name="20% - akcent 4 3 2 4 5 2 2" xfId="6493"/>
    <cellStyle name="20% - akcent 4 3 2 4 5 2 2 2" xfId="6494"/>
    <cellStyle name="20% - akcent 4 3 2 4 5 2 3" xfId="6495"/>
    <cellStyle name="20% - akcent 4 3 2 4 5 2 3 2" xfId="6496"/>
    <cellStyle name="20% - akcent 4 3 2 4 5 2 4" xfId="6497"/>
    <cellStyle name="20% - akcent 4 3 2 4 5 3" xfId="6498"/>
    <cellStyle name="20% - akcent 4 3 2 4 5 3 2" xfId="6499"/>
    <cellStyle name="20% - akcent 4 3 2 4 5 4" xfId="6500"/>
    <cellStyle name="20% - akcent 4 3 2 4 5 4 2" xfId="6501"/>
    <cellStyle name="20% - akcent 4 3 2 4 5 5" xfId="6502"/>
    <cellStyle name="20% - akcent 4 3 2 4 6" xfId="6503"/>
    <cellStyle name="20% - akcent 4 3 2 4 6 2" xfId="6504"/>
    <cellStyle name="20% - akcent 4 3 2 4 6 2 2" xfId="6505"/>
    <cellStyle name="20% - akcent 4 3 2 4 6 2 2 2" xfId="6506"/>
    <cellStyle name="20% - akcent 4 3 2 4 6 2 3" xfId="6507"/>
    <cellStyle name="20% - akcent 4 3 2 4 6 2 3 2" xfId="6508"/>
    <cellStyle name="20% - akcent 4 3 2 4 6 2 4" xfId="6509"/>
    <cellStyle name="20% - akcent 4 3 2 4 6 3" xfId="6510"/>
    <cellStyle name="20% - akcent 4 3 2 4 6 3 2" xfId="6511"/>
    <cellStyle name="20% - akcent 4 3 2 4 6 4" xfId="6512"/>
    <cellStyle name="20% - akcent 4 3 2 4 6 4 2" xfId="6513"/>
    <cellStyle name="20% - akcent 4 3 2 4 6 5" xfId="6514"/>
    <cellStyle name="20% - akcent 4 3 2 4 7" xfId="6515"/>
    <cellStyle name="20% - akcent 4 3 2 4 7 2" xfId="6516"/>
    <cellStyle name="20% - akcent 4 3 2 4 7 2 2" xfId="6517"/>
    <cellStyle name="20% - akcent 4 3 2 4 7 3" xfId="6518"/>
    <cellStyle name="20% - akcent 4 3 2 4 7 3 2" xfId="6519"/>
    <cellStyle name="20% - akcent 4 3 2 4 7 4" xfId="6520"/>
    <cellStyle name="20% - akcent 4 3 2 4 8" xfId="6521"/>
    <cellStyle name="20% - akcent 4 3 2 4 8 2" xfId="6522"/>
    <cellStyle name="20% - akcent 4 3 2 4 9" xfId="6523"/>
    <cellStyle name="20% - akcent 4 3 2 4 9 2" xfId="6524"/>
    <cellStyle name="20% - akcent 4 3 2 5" xfId="6525"/>
    <cellStyle name="20% - akcent 4 3 2 5 2" xfId="6526"/>
    <cellStyle name="20% - akcent 4 3 2 5 2 2" xfId="6527"/>
    <cellStyle name="20% - akcent 4 3 2 5 2 2 2" xfId="6528"/>
    <cellStyle name="20% - akcent 4 3 2 5 2 2 2 2" xfId="6529"/>
    <cellStyle name="20% - akcent 4 3 2 5 2 2 3" xfId="6530"/>
    <cellStyle name="20% - akcent 4 3 2 5 2 2 3 2" xfId="6531"/>
    <cellStyle name="20% - akcent 4 3 2 5 2 2 4" xfId="6532"/>
    <cellStyle name="20% - akcent 4 3 2 5 2 3" xfId="6533"/>
    <cellStyle name="20% - akcent 4 3 2 5 2 3 2" xfId="6534"/>
    <cellStyle name="20% - akcent 4 3 2 5 2 4" xfId="6535"/>
    <cellStyle name="20% - akcent 4 3 2 5 2 4 2" xfId="6536"/>
    <cellStyle name="20% - akcent 4 3 2 5 2 5" xfId="6537"/>
    <cellStyle name="20% - akcent 4 3 2 5 3" xfId="6538"/>
    <cellStyle name="20% - akcent 4 3 2 5 3 2" xfId="6539"/>
    <cellStyle name="20% - akcent 4 3 2 5 3 2 2" xfId="6540"/>
    <cellStyle name="20% - akcent 4 3 2 5 3 2 2 2" xfId="6541"/>
    <cellStyle name="20% - akcent 4 3 2 5 3 2 3" xfId="6542"/>
    <cellStyle name="20% - akcent 4 3 2 5 3 2 3 2" xfId="6543"/>
    <cellStyle name="20% - akcent 4 3 2 5 3 2 4" xfId="6544"/>
    <cellStyle name="20% - akcent 4 3 2 5 3 3" xfId="6545"/>
    <cellStyle name="20% - akcent 4 3 2 5 3 3 2" xfId="6546"/>
    <cellStyle name="20% - akcent 4 3 2 5 3 4" xfId="6547"/>
    <cellStyle name="20% - akcent 4 3 2 5 3 4 2" xfId="6548"/>
    <cellStyle name="20% - akcent 4 3 2 5 3 5" xfId="6549"/>
    <cellStyle name="20% - akcent 4 3 2 5 4" xfId="6550"/>
    <cellStyle name="20% - akcent 4 3 2 5 4 2" xfId="6551"/>
    <cellStyle name="20% - akcent 4 3 2 5 4 2 2" xfId="6552"/>
    <cellStyle name="20% - akcent 4 3 2 5 4 2 2 2" xfId="6553"/>
    <cellStyle name="20% - akcent 4 3 2 5 4 2 3" xfId="6554"/>
    <cellStyle name="20% - akcent 4 3 2 5 4 2 3 2" xfId="6555"/>
    <cellStyle name="20% - akcent 4 3 2 5 4 2 4" xfId="6556"/>
    <cellStyle name="20% - akcent 4 3 2 5 4 3" xfId="6557"/>
    <cellStyle name="20% - akcent 4 3 2 5 4 3 2" xfId="6558"/>
    <cellStyle name="20% - akcent 4 3 2 5 4 4" xfId="6559"/>
    <cellStyle name="20% - akcent 4 3 2 5 4 4 2" xfId="6560"/>
    <cellStyle name="20% - akcent 4 3 2 5 4 5" xfId="6561"/>
    <cellStyle name="20% - akcent 4 3 2 5 5" xfId="6562"/>
    <cellStyle name="20% - akcent 4 3 2 5 5 2" xfId="6563"/>
    <cellStyle name="20% - akcent 4 3 2 5 5 2 2" xfId="6564"/>
    <cellStyle name="20% - akcent 4 3 2 5 5 3" xfId="6565"/>
    <cellStyle name="20% - akcent 4 3 2 5 5 3 2" xfId="6566"/>
    <cellStyle name="20% - akcent 4 3 2 5 5 4" xfId="6567"/>
    <cellStyle name="20% - akcent 4 3 2 5 6" xfId="6568"/>
    <cellStyle name="20% - akcent 4 3 2 5 6 2" xfId="6569"/>
    <cellStyle name="20% - akcent 4 3 2 5 7" xfId="6570"/>
    <cellStyle name="20% - akcent 4 3 2 5 7 2" xfId="6571"/>
    <cellStyle name="20% - akcent 4 3 2 5 8" xfId="6572"/>
    <cellStyle name="20% - akcent 4 3 2 6" xfId="6573"/>
    <cellStyle name="20% - akcent 4 3 2 6 2" xfId="6574"/>
    <cellStyle name="20% - akcent 4 3 2 6 2 2" xfId="6575"/>
    <cellStyle name="20% - akcent 4 3 2 6 2 2 2" xfId="6576"/>
    <cellStyle name="20% - akcent 4 3 2 6 2 2 2 2" xfId="6577"/>
    <cellStyle name="20% - akcent 4 3 2 6 2 2 3" xfId="6578"/>
    <cellStyle name="20% - akcent 4 3 2 6 2 2 3 2" xfId="6579"/>
    <cellStyle name="20% - akcent 4 3 2 6 2 2 4" xfId="6580"/>
    <cellStyle name="20% - akcent 4 3 2 6 2 3" xfId="6581"/>
    <cellStyle name="20% - akcent 4 3 2 6 2 3 2" xfId="6582"/>
    <cellStyle name="20% - akcent 4 3 2 6 2 4" xfId="6583"/>
    <cellStyle name="20% - akcent 4 3 2 6 2 4 2" xfId="6584"/>
    <cellStyle name="20% - akcent 4 3 2 6 2 5" xfId="6585"/>
    <cellStyle name="20% - akcent 4 3 2 6 3" xfId="6586"/>
    <cellStyle name="20% - akcent 4 3 2 6 3 2" xfId="6587"/>
    <cellStyle name="20% - akcent 4 3 2 6 3 2 2" xfId="6588"/>
    <cellStyle name="20% - akcent 4 3 2 6 3 2 2 2" xfId="6589"/>
    <cellStyle name="20% - akcent 4 3 2 6 3 2 3" xfId="6590"/>
    <cellStyle name="20% - akcent 4 3 2 6 3 2 3 2" xfId="6591"/>
    <cellStyle name="20% - akcent 4 3 2 6 3 2 4" xfId="6592"/>
    <cellStyle name="20% - akcent 4 3 2 6 3 3" xfId="6593"/>
    <cellStyle name="20% - akcent 4 3 2 6 3 3 2" xfId="6594"/>
    <cellStyle name="20% - akcent 4 3 2 6 3 4" xfId="6595"/>
    <cellStyle name="20% - akcent 4 3 2 6 3 4 2" xfId="6596"/>
    <cellStyle name="20% - akcent 4 3 2 6 3 5" xfId="6597"/>
    <cellStyle name="20% - akcent 4 3 2 6 4" xfId="6598"/>
    <cellStyle name="20% - akcent 4 3 2 6 4 2" xfId="6599"/>
    <cellStyle name="20% - akcent 4 3 2 6 4 2 2" xfId="6600"/>
    <cellStyle name="20% - akcent 4 3 2 6 4 2 2 2" xfId="6601"/>
    <cellStyle name="20% - akcent 4 3 2 6 4 2 3" xfId="6602"/>
    <cellStyle name="20% - akcent 4 3 2 6 4 2 3 2" xfId="6603"/>
    <cellStyle name="20% - akcent 4 3 2 6 4 2 4" xfId="6604"/>
    <cellStyle name="20% - akcent 4 3 2 6 4 3" xfId="6605"/>
    <cellStyle name="20% - akcent 4 3 2 6 4 3 2" xfId="6606"/>
    <cellStyle name="20% - akcent 4 3 2 6 4 4" xfId="6607"/>
    <cellStyle name="20% - akcent 4 3 2 6 4 4 2" xfId="6608"/>
    <cellStyle name="20% - akcent 4 3 2 6 4 5" xfId="6609"/>
    <cellStyle name="20% - akcent 4 3 2 6 5" xfId="6610"/>
    <cellStyle name="20% - akcent 4 3 2 6 5 2" xfId="6611"/>
    <cellStyle name="20% - akcent 4 3 2 6 5 2 2" xfId="6612"/>
    <cellStyle name="20% - akcent 4 3 2 6 5 3" xfId="6613"/>
    <cellStyle name="20% - akcent 4 3 2 6 5 3 2" xfId="6614"/>
    <cellStyle name="20% - akcent 4 3 2 6 5 4" xfId="6615"/>
    <cellStyle name="20% - akcent 4 3 2 6 6" xfId="6616"/>
    <cellStyle name="20% - akcent 4 3 2 6 6 2" xfId="6617"/>
    <cellStyle name="20% - akcent 4 3 2 6 7" xfId="6618"/>
    <cellStyle name="20% - akcent 4 3 2 6 7 2" xfId="6619"/>
    <cellStyle name="20% - akcent 4 3 2 6 8" xfId="6620"/>
    <cellStyle name="20% - akcent 4 3 2 7" xfId="6621"/>
    <cellStyle name="20% - akcent 4 3 2 7 2" xfId="6622"/>
    <cellStyle name="20% - akcent 4 3 2 7 2 2" xfId="6623"/>
    <cellStyle name="20% - akcent 4 3 2 7 2 2 2" xfId="6624"/>
    <cellStyle name="20% - akcent 4 3 2 7 2 2 2 2" xfId="6625"/>
    <cellStyle name="20% - akcent 4 3 2 7 2 2 3" xfId="6626"/>
    <cellStyle name="20% - akcent 4 3 2 7 2 2 3 2" xfId="6627"/>
    <cellStyle name="20% - akcent 4 3 2 7 2 2 4" xfId="6628"/>
    <cellStyle name="20% - akcent 4 3 2 7 2 3" xfId="6629"/>
    <cellStyle name="20% - akcent 4 3 2 7 2 3 2" xfId="6630"/>
    <cellStyle name="20% - akcent 4 3 2 7 2 4" xfId="6631"/>
    <cellStyle name="20% - akcent 4 3 2 7 2 4 2" xfId="6632"/>
    <cellStyle name="20% - akcent 4 3 2 7 2 5" xfId="6633"/>
    <cellStyle name="20% - akcent 4 3 2 7 3" xfId="6634"/>
    <cellStyle name="20% - akcent 4 3 2 7 3 2" xfId="6635"/>
    <cellStyle name="20% - akcent 4 3 2 7 3 2 2" xfId="6636"/>
    <cellStyle name="20% - akcent 4 3 2 7 3 3" xfId="6637"/>
    <cellStyle name="20% - akcent 4 3 2 7 3 3 2" xfId="6638"/>
    <cellStyle name="20% - akcent 4 3 2 7 3 4" xfId="6639"/>
    <cellStyle name="20% - akcent 4 3 2 7 4" xfId="6640"/>
    <cellStyle name="20% - akcent 4 3 2 7 4 2" xfId="6641"/>
    <cellStyle name="20% - akcent 4 3 2 7 5" xfId="6642"/>
    <cellStyle name="20% - akcent 4 3 2 7 5 2" xfId="6643"/>
    <cellStyle name="20% - akcent 4 3 2 7 6" xfId="6644"/>
    <cellStyle name="20% - akcent 4 3 2 8" xfId="6645"/>
    <cellStyle name="20% - akcent 4 3 2 8 2" xfId="6646"/>
    <cellStyle name="20% - akcent 4 3 2 8 2 2" xfId="6647"/>
    <cellStyle name="20% - akcent 4 3 2 8 2 2 2" xfId="6648"/>
    <cellStyle name="20% - akcent 4 3 2 8 2 3" xfId="6649"/>
    <cellStyle name="20% - akcent 4 3 2 8 2 3 2" xfId="6650"/>
    <cellStyle name="20% - akcent 4 3 2 8 2 4" xfId="6651"/>
    <cellStyle name="20% - akcent 4 3 2 8 3" xfId="6652"/>
    <cellStyle name="20% - akcent 4 3 2 8 3 2" xfId="6653"/>
    <cellStyle name="20% - akcent 4 3 2 8 4" xfId="6654"/>
    <cellStyle name="20% - akcent 4 3 2 8 4 2" xfId="6655"/>
    <cellStyle name="20% - akcent 4 3 2 8 5" xfId="6656"/>
    <cellStyle name="20% - akcent 4 3 2 9" xfId="6657"/>
    <cellStyle name="20% - akcent 4 3 2 9 2" xfId="6658"/>
    <cellStyle name="20% - akcent 4 3 2 9 2 2" xfId="6659"/>
    <cellStyle name="20% - akcent 4 3 2 9 2 2 2" xfId="6660"/>
    <cellStyle name="20% - akcent 4 3 2 9 2 3" xfId="6661"/>
    <cellStyle name="20% - akcent 4 3 2 9 2 3 2" xfId="6662"/>
    <cellStyle name="20% - akcent 4 3 2 9 2 4" xfId="6663"/>
    <cellStyle name="20% - akcent 4 3 2 9 3" xfId="6664"/>
    <cellStyle name="20% - akcent 4 3 2 9 3 2" xfId="6665"/>
    <cellStyle name="20% - akcent 4 3 2 9 4" xfId="6666"/>
    <cellStyle name="20% - akcent 4 3 2 9 4 2" xfId="6667"/>
    <cellStyle name="20% - akcent 4 3 2 9 5" xfId="6668"/>
    <cellStyle name="20% - akcent 4 3 3" xfId="6669"/>
    <cellStyle name="20% - akcent 4 3 3 10" xfId="6670"/>
    <cellStyle name="20% - akcent 4 3 3 10 2" xfId="6671"/>
    <cellStyle name="20% - akcent 4 3 3 11" xfId="6672"/>
    <cellStyle name="20% - akcent 4 3 3 11 2" xfId="6673"/>
    <cellStyle name="20% - akcent 4 3 3 12" xfId="6674"/>
    <cellStyle name="20% - akcent 4 3 3 2" xfId="6675"/>
    <cellStyle name="20% - akcent 4 3 3 2 10" xfId="6676"/>
    <cellStyle name="20% - akcent 4 3 3 2 10 2" xfId="6677"/>
    <cellStyle name="20% - akcent 4 3 3 2 11" xfId="6678"/>
    <cellStyle name="20% - akcent 4 3 3 2 2" xfId="6679"/>
    <cellStyle name="20% - akcent 4 3 3 2 2 2" xfId="6680"/>
    <cellStyle name="20% - akcent 4 3 3 2 2 2 2" xfId="6681"/>
    <cellStyle name="20% - akcent 4 3 3 2 2 2 2 2" xfId="6682"/>
    <cellStyle name="20% - akcent 4 3 3 2 2 2 2 2 2" xfId="6683"/>
    <cellStyle name="20% - akcent 4 3 3 2 2 2 2 3" xfId="6684"/>
    <cellStyle name="20% - akcent 4 3 3 2 2 2 2 3 2" xfId="6685"/>
    <cellStyle name="20% - akcent 4 3 3 2 2 2 2 4" xfId="6686"/>
    <cellStyle name="20% - akcent 4 3 3 2 2 2 3" xfId="6687"/>
    <cellStyle name="20% - akcent 4 3 3 2 2 2 3 2" xfId="6688"/>
    <cellStyle name="20% - akcent 4 3 3 2 2 2 4" xfId="6689"/>
    <cellStyle name="20% - akcent 4 3 3 2 2 2 4 2" xfId="6690"/>
    <cellStyle name="20% - akcent 4 3 3 2 2 2 5" xfId="6691"/>
    <cellStyle name="20% - akcent 4 3 3 2 2 3" xfId="6692"/>
    <cellStyle name="20% - akcent 4 3 3 2 2 3 2" xfId="6693"/>
    <cellStyle name="20% - akcent 4 3 3 2 2 3 2 2" xfId="6694"/>
    <cellStyle name="20% - akcent 4 3 3 2 2 3 2 2 2" xfId="6695"/>
    <cellStyle name="20% - akcent 4 3 3 2 2 3 2 3" xfId="6696"/>
    <cellStyle name="20% - akcent 4 3 3 2 2 3 2 3 2" xfId="6697"/>
    <cellStyle name="20% - akcent 4 3 3 2 2 3 2 4" xfId="6698"/>
    <cellStyle name="20% - akcent 4 3 3 2 2 3 3" xfId="6699"/>
    <cellStyle name="20% - akcent 4 3 3 2 2 3 3 2" xfId="6700"/>
    <cellStyle name="20% - akcent 4 3 3 2 2 3 4" xfId="6701"/>
    <cellStyle name="20% - akcent 4 3 3 2 2 3 4 2" xfId="6702"/>
    <cellStyle name="20% - akcent 4 3 3 2 2 3 5" xfId="6703"/>
    <cellStyle name="20% - akcent 4 3 3 2 2 4" xfId="6704"/>
    <cellStyle name="20% - akcent 4 3 3 2 2 4 2" xfId="6705"/>
    <cellStyle name="20% - akcent 4 3 3 2 2 4 2 2" xfId="6706"/>
    <cellStyle name="20% - akcent 4 3 3 2 2 4 2 2 2" xfId="6707"/>
    <cellStyle name="20% - akcent 4 3 3 2 2 4 2 3" xfId="6708"/>
    <cellStyle name="20% - akcent 4 3 3 2 2 4 2 3 2" xfId="6709"/>
    <cellStyle name="20% - akcent 4 3 3 2 2 4 2 4" xfId="6710"/>
    <cellStyle name="20% - akcent 4 3 3 2 2 4 3" xfId="6711"/>
    <cellStyle name="20% - akcent 4 3 3 2 2 4 3 2" xfId="6712"/>
    <cellStyle name="20% - akcent 4 3 3 2 2 4 4" xfId="6713"/>
    <cellStyle name="20% - akcent 4 3 3 2 2 4 4 2" xfId="6714"/>
    <cellStyle name="20% - akcent 4 3 3 2 2 4 5" xfId="6715"/>
    <cellStyle name="20% - akcent 4 3 3 2 2 5" xfId="6716"/>
    <cellStyle name="20% - akcent 4 3 3 2 2 5 2" xfId="6717"/>
    <cellStyle name="20% - akcent 4 3 3 2 2 5 2 2" xfId="6718"/>
    <cellStyle name="20% - akcent 4 3 3 2 2 5 3" xfId="6719"/>
    <cellStyle name="20% - akcent 4 3 3 2 2 5 3 2" xfId="6720"/>
    <cellStyle name="20% - akcent 4 3 3 2 2 5 4" xfId="6721"/>
    <cellStyle name="20% - akcent 4 3 3 2 2 6" xfId="6722"/>
    <cellStyle name="20% - akcent 4 3 3 2 2 6 2" xfId="6723"/>
    <cellStyle name="20% - akcent 4 3 3 2 2 7" xfId="6724"/>
    <cellStyle name="20% - akcent 4 3 3 2 2 7 2" xfId="6725"/>
    <cellStyle name="20% - akcent 4 3 3 2 2 8" xfId="6726"/>
    <cellStyle name="20% - akcent 4 3 3 2 3" xfId="6727"/>
    <cellStyle name="20% - akcent 4 3 3 2 3 2" xfId="6728"/>
    <cellStyle name="20% - akcent 4 3 3 2 3 2 2" xfId="6729"/>
    <cellStyle name="20% - akcent 4 3 3 2 3 2 2 2" xfId="6730"/>
    <cellStyle name="20% - akcent 4 3 3 2 3 2 2 2 2" xfId="6731"/>
    <cellStyle name="20% - akcent 4 3 3 2 3 2 2 3" xfId="6732"/>
    <cellStyle name="20% - akcent 4 3 3 2 3 2 2 3 2" xfId="6733"/>
    <cellStyle name="20% - akcent 4 3 3 2 3 2 2 4" xfId="6734"/>
    <cellStyle name="20% - akcent 4 3 3 2 3 2 3" xfId="6735"/>
    <cellStyle name="20% - akcent 4 3 3 2 3 2 3 2" xfId="6736"/>
    <cellStyle name="20% - akcent 4 3 3 2 3 2 4" xfId="6737"/>
    <cellStyle name="20% - akcent 4 3 3 2 3 2 4 2" xfId="6738"/>
    <cellStyle name="20% - akcent 4 3 3 2 3 2 5" xfId="6739"/>
    <cellStyle name="20% - akcent 4 3 3 2 3 3" xfId="6740"/>
    <cellStyle name="20% - akcent 4 3 3 2 3 3 2" xfId="6741"/>
    <cellStyle name="20% - akcent 4 3 3 2 3 3 2 2" xfId="6742"/>
    <cellStyle name="20% - akcent 4 3 3 2 3 3 2 2 2" xfId="6743"/>
    <cellStyle name="20% - akcent 4 3 3 2 3 3 2 3" xfId="6744"/>
    <cellStyle name="20% - akcent 4 3 3 2 3 3 2 3 2" xfId="6745"/>
    <cellStyle name="20% - akcent 4 3 3 2 3 3 2 4" xfId="6746"/>
    <cellStyle name="20% - akcent 4 3 3 2 3 3 3" xfId="6747"/>
    <cellStyle name="20% - akcent 4 3 3 2 3 3 3 2" xfId="6748"/>
    <cellStyle name="20% - akcent 4 3 3 2 3 3 4" xfId="6749"/>
    <cellStyle name="20% - akcent 4 3 3 2 3 3 4 2" xfId="6750"/>
    <cellStyle name="20% - akcent 4 3 3 2 3 3 5" xfId="6751"/>
    <cellStyle name="20% - akcent 4 3 3 2 3 4" xfId="6752"/>
    <cellStyle name="20% - akcent 4 3 3 2 3 4 2" xfId="6753"/>
    <cellStyle name="20% - akcent 4 3 3 2 3 4 2 2" xfId="6754"/>
    <cellStyle name="20% - akcent 4 3 3 2 3 4 2 2 2" xfId="6755"/>
    <cellStyle name="20% - akcent 4 3 3 2 3 4 2 3" xfId="6756"/>
    <cellStyle name="20% - akcent 4 3 3 2 3 4 2 3 2" xfId="6757"/>
    <cellStyle name="20% - akcent 4 3 3 2 3 4 2 4" xfId="6758"/>
    <cellStyle name="20% - akcent 4 3 3 2 3 4 3" xfId="6759"/>
    <cellStyle name="20% - akcent 4 3 3 2 3 4 3 2" xfId="6760"/>
    <cellStyle name="20% - akcent 4 3 3 2 3 4 4" xfId="6761"/>
    <cellStyle name="20% - akcent 4 3 3 2 3 4 4 2" xfId="6762"/>
    <cellStyle name="20% - akcent 4 3 3 2 3 4 5" xfId="6763"/>
    <cellStyle name="20% - akcent 4 3 3 2 3 5" xfId="6764"/>
    <cellStyle name="20% - akcent 4 3 3 2 3 5 2" xfId="6765"/>
    <cellStyle name="20% - akcent 4 3 3 2 3 5 2 2" xfId="6766"/>
    <cellStyle name="20% - akcent 4 3 3 2 3 5 3" xfId="6767"/>
    <cellStyle name="20% - akcent 4 3 3 2 3 5 3 2" xfId="6768"/>
    <cellStyle name="20% - akcent 4 3 3 2 3 5 4" xfId="6769"/>
    <cellStyle name="20% - akcent 4 3 3 2 3 6" xfId="6770"/>
    <cellStyle name="20% - akcent 4 3 3 2 3 6 2" xfId="6771"/>
    <cellStyle name="20% - akcent 4 3 3 2 3 7" xfId="6772"/>
    <cellStyle name="20% - akcent 4 3 3 2 3 7 2" xfId="6773"/>
    <cellStyle name="20% - akcent 4 3 3 2 3 8" xfId="6774"/>
    <cellStyle name="20% - akcent 4 3 3 2 4" xfId="6775"/>
    <cellStyle name="20% - akcent 4 3 3 2 4 2" xfId="6776"/>
    <cellStyle name="20% - akcent 4 3 3 2 4 2 2" xfId="6777"/>
    <cellStyle name="20% - akcent 4 3 3 2 4 2 2 2" xfId="6778"/>
    <cellStyle name="20% - akcent 4 3 3 2 4 2 2 2 2" xfId="6779"/>
    <cellStyle name="20% - akcent 4 3 3 2 4 2 2 3" xfId="6780"/>
    <cellStyle name="20% - akcent 4 3 3 2 4 2 2 3 2" xfId="6781"/>
    <cellStyle name="20% - akcent 4 3 3 2 4 2 2 4" xfId="6782"/>
    <cellStyle name="20% - akcent 4 3 3 2 4 2 3" xfId="6783"/>
    <cellStyle name="20% - akcent 4 3 3 2 4 2 3 2" xfId="6784"/>
    <cellStyle name="20% - akcent 4 3 3 2 4 2 4" xfId="6785"/>
    <cellStyle name="20% - akcent 4 3 3 2 4 2 4 2" xfId="6786"/>
    <cellStyle name="20% - akcent 4 3 3 2 4 2 5" xfId="6787"/>
    <cellStyle name="20% - akcent 4 3 3 2 4 3" xfId="6788"/>
    <cellStyle name="20% - akcent 4 3 3 2 4 3 2" xfId="6789"/>
    <cellStyle name="20% - akcent 4 3 3 2 4 3 2 2" xfId="6790"/>
    <cellStyle name="20% - akcent 4 3 3 2 4 3 3" xfId="6791"/>
    <cellStyle name="20% - akcent 4 3 3 2 4 3 3 2" xfId="6792"/>
    <cellStyle name="20% - akcent 4 3 3 2 4 3 4" xfId="6793"/>
    <cellStyle name="20% - akcent 4 3 3 2 4 4" xfId="6794"/>
    <cellStyle name="20% - akcent 4 3 3 2 4 4 2" xfId="6795"/>
    <cellStyle name="20% - akcent 4 3 3 2 4 5" xfId="6796"/>
    <cellStyle name="20% - akcent 4 3 3 2 4 5 2" xfId="6797"/>
    <cellStyle name="20% - akcent 4 3 3 2 4 6" xfId="6798"/>
    <cellStyle name="20% - akcent 4 3 3 2 5" xfId="6799"/>
    <cellStyle name="20% - akcent 4 3 3 2 5 2" xfId="6800"/>
    <cellStyle name="20% - akcent 4 3 3 2 5 2 2" xfId="6801"/>
    <cellStyle name="20% - akcent 4 3 3 2 5 2 2 2" xfId="6802"/>
    <cellStyle name="20% - akcent 4 3 3 2 5 2 3" xfId="6803"/>
    <cellStyle name="20% - akcent 4 3 3 2 5 2 3 2" xfId="6804"/>
    <cellStyle name="20% - akcent 4 3 3 2 5 2 4" xfId="6805"/>
    <cellStyle name="20% - akcent 4 3 3 2 5 3" xfId="6806"/>
    <cellStyle name="20% - akcent 4 3 3 2 5 3 2" xfId="6807"/>
    <cellStyle name="20% - akcent 4 3 3 2 5 4" xfId="6808"/>
    <cellStyle name="20% - akcent 4 3 3 2 5 4 2" xfId="6809"/>
    <cellStyle name="20% - akcent 4 3 3 2 5 5" xfId="6810"/>
    <cellStyle name="20% - akcent 4 3 3 2 6" xfId="6811"/>
    <cellStyle name="20% - akcent 4 3 3 2 6 2" xfId="6812"/>
    <cellStyle name="20% - akcent 4 3 3 2 6 2 2" xfId="6813"/>
    <cellStyle name="20% - akcent 4 3 3 2 6 2 2 2" xfId="6814"/>
    <cellStyle name="20% - akcent 4 3 3 2 6 2 3" xfId="6815"/>
    <cellStyle name="20% - akcent 4 3 3 2 6 2 3 2" xfId="6816"/>
    <cellStyle name="20% - akcent 4 3 3 2 6 2 4" xfId="6817"/>
    <cellStyle name="20% - akcent 4 3 3 2 6 3" xfId="6818"/>
    <cellStyle name="20% - akcent 4 3 3 2 6 3 2" xfId="6819"/>
    <cellStyle name="20% - akcent 4 3 3 2 6 4" xfId="6820"/>
    <cellStyle name="20% - akcent 4 3 3 2 6 4 2" xfId="6821"/>
    <cellStyle name="20% - akcent 4 3 3 2 6 5" xfId="6822"/>
    <cellStyle name="20% - akcent 4 3 3 2 7" xfId="6823"/>
    <cellStyle name="20% - akcent 4 3 3 2 7 2" xfId="6824"/>
    <cellStyle name="20% - akcent 4 3 3 2 7 2 2" xfId="6825"/>
    <cellStyle name="20% - akcent 4 3 3 2 7 2 2 2" xfId="6826"/>
    <cellStyle name="20% - akcent 4 3 3 2 7 2 3" xfId="6827"/>
    <cellStyle name="20% - akcent 4 3 3 2 7 2 3 2" xfId="6828"/>
    <cellStyle name="20% - akcent 4 3 3 2 7 2 4" xfId="6829"/>
    <cellStyle name="20% - akcent 4 3 3 2 7 3" xfId="6830"/>
    <cellStyle name="20% - akcent 4 3 3 2 7 3 2" xfId="6831"/>
    <cellStyle name="20% - akcent 4 3 3 2 7 4" xfId="6832"/>
    <cellStyle name="20% - akcent 4 3 3 2 7 4 2" xfId="6833"/>
    <cellStyle name="20% - akcent 4 3 3 2 7 5" xfId="6834"/>
    <cellStyle name="20% - akcent 4 3 3 2 8" xfId="6835"/>
    <cellStyle name="20% - akcent 4 3 3 2 8 2" xfId="6836"/>
    <cellStyle name="20% - akcent 4 3 3 2 8 2 2" xfId="6837"/>
    <cellStyle name="20% - akcent 4 3 3 2 8 3" xfId="6838"/>
    <cellStyle name="20% - akcent 4 3 3 2 8 3 2" xfId="6839"/>
    <cellStyle name="20% - akcent 4 3 3 2 8 4" xfId="6840"/>
    <cellStyle name="20% - akcent 4 3 3 2 9" xfId="6841"/>
    <cellStyle name="20% - akcent 4 3 3 2 9 2" xfId="6842"/>
    <cellStyle name="20% - akcent 4 3 3 3" xfId="6843"/>
    <cellStyle name="20% - akcent 4 3 3 3 2" xfId="6844"/>
    <cellStyle name="20% - akcent 4 3 3 3 2 2" xfId="6845"/>
    <cellStyle name="20% - akcent 4 3 3 3 2 2 2" xfId="6846"/>
    <cellStyle name="20% - akcent 4 3 3 3 2 2 2 2" xfId="6847"/>
    <cellStyle name="20% - akcent 4 3 3 3 2 2 3" xfId="6848"/>
    <cellStyle name="20% - akcent 4 3 3 3 2 2 3 2" xfId="6849"/>
    <cellStyle name="20% - akcent 4 3 3 3 2 2 4" xfId="6850"/>
    <cellStyle name="20% - akcent 4 3 3 3 2 3" xfId="6851"/>
    <cellStyle name="20% - akcent 4 3 3 3 2 3 2" xfId="6852"/>
    <cellStyle name="20% - akcent 4 3 3 3 2 4" xfId="6853"/>
    <cellStyle name="20% - akcent 4 3 3 3 2 4 2" xfId="6854"/>
    <cellStyle name="20% - akcent 4 3 3 3 2 5" xfId="6855"/>
    <cellStyle name="20% - akcent 4 3 3 3 3" xfId="6856"/>
    <cellStyle name="20% - akcent 4 3 3 3 3 2" xfId="6857"/>
    <cellStyle name="20% - akcent 4 3 3 3 3 2 2" xfId="6858"/>
    <cellStyle name="20% - akcent 4 3 3 3 3 2 2 2" xfId="6859"/>
    <cellStyle name="20% - akcent 4 3 3 3 3 2 3" xfId="6860"/>
    <cellStyle name="20% - akcent 4 3 3 3 3 2 3 2" xfId="6861"/>
    <cellStyle name="20% - akcent 4 3 3 3 3 2 4" xfId="6862"/>
    <cellStyle name="20% - akcent 4 3 3 3 3 3" xfId="6863"/>
    <cellStyle name="20% - akcent 4 3 3 3 3 3 2" xfId="6864"/>
    <cellStyle name="20% - akcent 4 3 3 3 3 4" xfId="6865"/>
    <cellStyle name="20% - akcent 4 3 3 3 3 4 2" xfId="6866"/>
    <cellStyle name="20% - akcent 4 3 3 3 3 5" xfId="6867"/>
    <cellStyle name="20% - akcent 4 3 3 3 4" xfId="6868"/>
    <cellStyle name="20% - akcent 4 3 3 3 4 2" xfId="6869"/>
    <cellStyle name="20% - akcent 4 3 3 3 4 2 2" xfId="6870"/>
    <cellStyle name="20% - akcent 4 3 3 3 4 2 2 2" xfId="6871"/>
    <cellStyle name="20% - akcent 4 3 3 3 4 2 3" xfId="6872"/>
    <cellStyle name="20% - akcent 4 3 3 3 4 2 3 2" xfId="6873"/>
    <cellStyle name="20% - akcent 4 3 3 3 4 2 4" xfId="6874"/>
    <cellStyle name="20% - akcent 4 3 3 3 4 3" xfId="6875"/>
    <cellStyle name="20% - akcent 4 3 3 3 4 3 2" xfId="6876"/>
    <cellStyle name="20% - akcent 4 3 3 3 4 4" xfId="6877"/>
    <cellStyle name="20% - akcent 4 3 3 3 4 4 2" xfId="6878"/>
    <cellStyle name="20% - akcent 4 3 3 3 4 5" xfId="6879"/>
    <cellStyle name="20% - akcent 4 3 3 3 5" xfId="6880"/>
    <cellStyle name="20% - akcent 4 3 3 3 5 2" xfId="6881"/>
    <cellStyle name="20% - akcent 4 3 3 3 5 2 2" xfId="6882"/>
    <cellStyle name="20% - akcent 4 3 3 3 5 3" xfId="6883"/>
    <cellStyle name="20% - akcent 4 3 3 3 5 3 2" xfId="6884"/>
    <cellStyle name="20% - akcent 4 3 3 3 5 4" xfId="6885"/>
    <cellStyle name="20% - akcent 4 3 3 3 6" xfId="6886"/>
    <cellStyle name="20% - akcent 4 3 3 3 6 2" xfId="6887"/>
    <cellStyle name="20% - akcent 4 3 3 3 7" xfId="6888"/>
    <cellStyle name="20% - akcent 4 3 3 3 7 2" xfId="6889"/>
    <cellStyle name="20% - akcent 4 3 3 3 8" xfId="6890"/>
    <cellStyle name="20% - akcent 4 3 3 4" xfId="6891"/>
    <cellStyle name="20% - akcent 4 3 3 4 2" xfId="6892"/>
    <cellStyle name="20% - akcent 4 3 3 4 2 2" xfId="6893"/>
    <cellStyle name="20% - akcent 4 3 3 4 2 2 2" xfId="6894"/>
    <cellStyle name="20% - akcent 4 3 3 4 2 2 2 2" xfId="6895"/>
    <cellStyle name="20% - akcent 4 3 3 4 2 2 3" xfId="6896"/>
    <cellStyle name="20% - akcent 4 3 3 4 2 2 3 2" xfId="6897"/>
    <cellStyle name="20% - akcent 4 3 3 4 2 2 4" xfId="6898"/>
    <cellStyle name="20% - akcent 4 3 3 4 2 3" xfId="6899"/>
    <cellStyle name="20% - akcent 4 3 3 4 2 3 2" xfId="6900"/>
    <cellStyle name="20% - akcent 4 3 3 4 2 4" xfId="6901"/>
    <cellStyle name="20% - akcent 4 3 3 4 2 4 2" xfId="6902"/>
    <cellStyle name="20% - akcent 4 3 3 4 2 5" xfId="6903"/>
    <cellStyle name="20% - akcent 4 3 3 4 3" xfId="6904"/>
    <cellStyle name="20% - akcent 4 3 3 4 3 2" xfId="6905"/>
    <cellStyle name="20% - akcent 4 3 3 4 3 2 2" xfId="6906"/>
    <cellStyle name="20% - akcent 4 3 3 4 3 2 2 2" xfId="6907"/>
    <cellStyle name="20% - akcent 4 3 3 4 3 2 3" xfId="6908"/>
    <cellStyle name="20% - akcent 4 3 3 4 3 2 3 2" xfId="6909"/>
    <cellStyle name="20% - akcent 4 3 3 4 3 2 4" xfId="6910"/>
    <cellStyle name="20% - akcent 4 3 3 4 3 3" xfId="6911"/>
    <cellStyle name="20% - akcent 4 3 3 4 3 3 2" xfId="6912"/>
    <cellStyle name="20% - akcent 4 3 3 4 3 4" xfId="6913"/>
    <cellStyle name="20% - akcent 4 3 3 4 3 4 2" xfId="6914"/>
    <cellStyle name="20% - akcent 4 3 3 4 3 5" xfId="6915"/>
    <cellStyle name="20% - akcent 4 3 3 4 4" xfId="6916"/>
    <cellStyle name="20% - akcent 4 3 3 4 4 2" xfId="6917"/>
    <cellStyle name="20% - akcent 4 3 3 4 4 2 2" xfId="6918"/>
    <cellStyle name="20% - akcent 4 3 3 4 4 2 2 2" xfId="6919"/>
    <cellStyle name="20% - akcent 4 3 3 4 4 2 3" xfId="6920"/>
    <cellStyle name="20% - akcent 4 3 3 4 4 2 3 2" xfId="6921"/>
    <cellStyle name="20% - akcent 4 3 3 4 4 2 4" xfId="6922"/>
    <cellStyle name="20% - akcent 4 3 3 4 4 3" xfId="6923"/>
    <cellStyle name="20% - akcent 4 3 3 4 4 3 2" xfId="6924"/>
    <cellStyle name="20% - akcent 4 3 3 4 4 4" xfId="6925"/>
    <cellStyle name="20% - akcent 4 3 3 4 4 4 2" xfId="6926"/>
    <cellStyle name="20% - akcent 4 3 3 4 4 5" xfId="6927"/>
    <cellStyle name="20% - akcent 4 3 3 4 5" xfId="6928"/>
    <cellStyle name="20% - akcent 4 3 3 4 5 2" xfId="6929"/>
    <cellStyle name="20% - akcent 4 3 3 4 5 2 2" xfId="6930"/>
    <cellStyle name="20% - akcent 4 3 3 4 5 3" xfId="6931"/>
    <cellStyle name="20% - akcent 4 3 3 4 5 3 2" xfId="6932"/>
    <cellStyle name="20% - akcent 4 3 3 4 5 4" xfId="6933"/>
    <cellStyle name="20% - akcent 4 3 3 4 6" xfId="6934"/>
    <cellStyle name="20% - akcent 4 3 3 4 6 2" xfId="6935"/>
    <cellStyle name="20% - akcent 4 3 3 4 7" xfId="6936"/>
    <cellStyle name="20% - akcent 4 3 3 4 7 2" xfId="6937"/>
    <cellStyle name="20% - akcent 4 3 3 4 8" xfId="6938"/>
    <cellStyle name="20% - akcent 4 3 3 5" xfId="6939"/>
    <cellStyle name="20% - akcent 4 3 3 5 2" xfId="6940"/>
    <cellStyle name="20% - akcent 4 3 3 5 2 2" xfId="6941"/>
    <cellStyle name="20% - akcent 4 3 3 5 2 2 2" xfId="6942"/>
    <cellStyle name="20% - akcent 4 3 3 5 2 2 2 2" xfId="6943"/>
    <cellStyle name="20% - akcent 4 3 3 5 2 2 3" xfId="6944"/>
    <cellStyle name="20% - akcent 4 3 3 5 2 2 3 2" xfId="6945"/>
    <cellStyle name="20% - akcent 4 3 3 5 2 2 4" xfId="6946"/>
    <cellStyle name="20% - akcent 4 3 3 5 2 3" xfId="6947"/>
    <cellStyle name="20% - akcent 4 3 3 5 2 3 2" xfId="6948"/>
    <cellStyle name="20% - akcent 4 3 3 5 2 4" xfId="6949"/>
    <cellStyle name="20% - akcent 4 3 3 5 2 4 2" xfId="6950"/>
    <cellStyle name="20% - akcent 4 3 3 5 2 5" xfId="6951"/>
    <cellStyle name="20% - akcent 4 3 3 5 3" xfId="6952"/>
    <cellStyle name="20% - akcent 4 3 3 5 3 2" xfId="6953"/>
    <cellStyle name="20% - akcent 4 3 3 5 3 2 2" xfId="6954"/>
    <cellStyle name="20% - akcent 4 3 3 5 3 3" xfId="6955"/>
    <cellStyle name="20% - akcent 4 3 3 5 3 3 2" xfId="6956"/>
    <cellStyle name="20% - akcent 4 3 3 5 3 4" xfId="6957"/>
    <cellStyle name="20% - akcent 4 3 3 5 4" xfId="6958"/>
    <cellStyle name="20% - akcent 4 3 3 5 4 2" xfId="6959"/>
    <cellStyle name="20% - akcent 4 3 3 5 5" xfId="6960"/>
    <cellStyle name="20% - akcent 4 3 3 5 5 2" xfId="6961"/>
    <cellStyle name="20% - akcent 4 3 3 5 6" xfId="6962"/>
    <cellStyle name="20% - akcent 4 3 3 6" xfId="6963"/>
    <cellStyle name="20% - akcent 4 3 3 6 2" xfId="6964"/>
    <cellStyle name="20% - akcent 4 3 3 6 2 2" xfId="6965"/>
    <cellStyle name="20% - akcent 4 3 3 6 2 2 2" xfId="6966"/>
    <cellStyle name="20% - akcent 4 3 3 6 2 3" xfId="6967"/>
    <cellStyle name="20% - akcent 4 3 3 6 2 3 2" xfId="6968"/>
    <cellStyle name="20% - akcent 4 3 3 6 2 4" xfId="6969"/>
    <cellStyle name="20% - akcent 4 3 3 6 3" xfId="6970"/>
    <cellStyle name="20% - akcent 4 3 3 6 3 2" xfId="6971"/>
    <cellStyle name="20% - akcent 4 3 3 6 4" xfId="6972"/>
    <cellStyle name="20% - akcent 4 3 3 6 4 2" xfId="6973"/>
    <cellStyle name="20% - akcent 4 3 3 6 5" xfId="6974"/>
    <cellStyle name="20% - akcent 4 3 3 7" xfId="6975"/>
    <cellStyle name="20% - akcent 4 3 3 7 2" xfId="6976"/>
    <cellStyle name="20% - akcent 4 3 3 7 2 2" xfId="6977"/>
    <cellStyle name="20% - akcent 4 3 3 7 2 2 2" xfId="6978"/>
    <cellStyle name="20% - akcent 4 3 3 7 2 3" xfId="6979"/>
    <cellStyle name="20% - akcent 4 3 3 7 2 3 2" xfId="6980"/>
    <cellStyle name="20% - akcent 4 3 3 7 2 4" xfId="6981"/>
    <cellStyle name="20% - akcent 4 3 3 7 3" xfId="6982"/>
    <cellStyle name="20% - akcent 4 3 3 7 3 2" xfId="6983"/>
    <cellStyle name="20% - akcent 4 3 3 7 4" xfId="6984"/>
    <cellStyle name="20% - akcent 4 3 3 7 4 2" xfId="6985"/>
    <cellStyle name="20% - akcent 4 3 3 7 5" xfId="6986"/>
    <cellStyle name="20% - akcent 4 3 3 8" xfId="6987"/>
    <cellStyle name="20% - akcent 4 3 3 8 2" xfId="6988"/>
    <cellStyle name="20% - akcent 4 3 3 8 2 2" xfId="6989"/>
    <cellStyle name="20% - akcent 4 3 3 8 2 2 2" xfId="6990"/>
    <cellStyle name="20% - akcent 4 3 3 8 2 3" xfId="6991"/>
    <cellStyle name="20% - akcent 4 3 3 8 2 3 2" xfId="6992"/>
    <cellStyle name="20% - akcent 4 3 3 8 2 4" xfId="6993"/>
    <cellStyle name="20% - akcent 4 3 3 8 3" xfId="6994"/>
    <cellStyle name="20% - akcent 4 3 3 8 3 2" xfId="6995"/>
    <cellStyle name="20% - akcent 4 3 3 8 4" xfId="6996"/>
    <cellStyle name="20% - akcent 4 3 3 8 4 2" xfId="6997"/>
    <cellStyle name="20% - akcent 4 3 3 8 5" xfId="6998"/>
    <cellStyle name="20% - akcent 4 3 3 9" xfId="6999"/>
    <cellStyle name="20% - akcent 4 3 3 9 2" xfId="7000"/>
    <cellStyle name="20% - akcent 4 3 3 9 2 2" xfId="7001"/>
    <cellStyle name="20% - akcent 4 3 3 9 3" xfId="7002"/>
    <cellStyle name="20% - akcent 4 3 3 9 3 2" xfId="7003"/>
    <cellStyle name="20% - akcent 4 3 3 9 4" xfId="7004"/>
    <cellStyle name="20% - akcent 4 3 4" xfId="7005"/>
    <cellStyle name="20% - akcent 4 3 4 10" xfId="7006"/>
    <cellStyle name="20% - akcent 4 3 4 10 2" xfId="7007"/>
    <cellStyle name="20% - akcent 4 3 4 11" xfId="7008"/>
    <cellStyle name="20% - akcent 4 3 4 2" xfId="7009"/>
    <cellStyle name="20% - akcent 4 3 4 2 2" xfId="7010"/>
    <cellStyle name="20% - akcent 4 3 4 2 2 2" xfId="7011"/>
    <cellStyle name="20% - akcent 4 3 4 2 2 2 2" xfId="7012"/>
    <cellStyle name="20% - akcent 4 3 4 2 2 2 2 2" xfId="7013"/>
    <cellStyle name="20% - akcent 4 3 4 2 2 2 3" xfId="7014"/>
    <cellStyle name="20% - akcent 4 3 4 2 2 2 3 2" xfId="7015"/>
    <cellStyle name="20% - akcent 4 3 4 2 2 2 4" xfId="7016"/>
    <cellStyle name="20% - akcent 4 3 4 2 2 3" xfId="7017"/>
    <cellStyle name="20% - akcent 4 3 4 2 2 3 2" xfId="7018"/>
    <cellStyle name="20% - akcent 4 3 4 2 2 4" xfId="7019"/>
    <cellStyle name="20% - akcent 4 3 4 2 2 4 2" xfId="7020"/>
    <cellStyle name="20% - akcent 4 3 4 2 2 5" xfId="7021"/>
    <cellStyle name="20% - akcent 4 3 4 2 3" xfId="7022"/>
    <cellStyle name="20% - akcent 4 3 4 2 3 2" xfId="7023"/>
    <cellStyle name="20% - akcent 4 3 4 2 3 2 2" xfId="7024"/>
    <cellStyle name="20% - akcent 4 3 4 2 3 2 2 2" xfId="7025"/>
    <cellStyle name="20% - akcent 4 3 4 2 3 2 3" xfId="7026"/>
    <cellStyle name="20% - akcent 4 3 4 2 3 2 3 2" xfId="7027"/>
    <cellStyle name="20% - akcent 4 3 4 2 3 2 4" xfId="7028"/>
    <cellStyle name="20% - akcent 4 3 4 2 3 3" xfId="7029"/>
    <cellStyle name="20% - akcent 4 3 4 2 3 3 2" xfId="7030"/>
    <cellStyle name="20% - akcent 4 3 4 2 3 4" xfId="7031"/>
    <cellStyle name="20% - akcent 4 3 4 2 3 4 2" xfId="7032"/>
    <cellStyle name="20% - akcent 4 3 4 2 3 5" xfId="7033"/>
    <cellStyle name="20% - akcent 4 3 4 2 4" xfId="7034"/>
    <cellStyle name="20% - akcent 4 3 4 2 4 2" xfId="7035"/>
    <cellStyle name="20% - akcent 4 3 4 2 4 2 2" xfId="7036"/>
    <cellStyle name="20% - akcent 4 3 4 2 4 2 2 2" xfId="7037"/>
    <cellStyle name="20% - akcent 4 3 4 2 4 2 3" xfId="7038"/>
    <cellStyle name="20% - akcent 4 3 4 2 4 2 3 2" xfId="7039"/>
    <cellStyle name="20% - akcent 4 3 4 2 4 2 4" xfId="7040"/>
    <cellStyle name="20% - akcent 4 3 4 2 4 3" xfId="7041"/>
    <cellStyle name="20% - akcent 4 3 4 2 4 3 2" xfId="7042"/>
    <cellStyle name="20% - akcent 4 3 4 2 4 4" xfId="7043"/>
    <cellStyle name="20% - akcent 4 3 4 2 4 4 2" xfId="7044"/>
    <cellStyle name="20% - akcent 4 3 4 2 4 5" xfId="7045"/>
    <cellStyle name="20% - akcent 4 3 4 2 5" xfId="7046"/>
    <cellStyle name="20% - akcent 4 3 4 2 5 2" xfId="7047"/>
    <cellStyle name="20% - akcent 4 3 4 2 5 2 2" xfId="7048"/>
    <cellStyle name="20% - akcent 4 3 4 2 5 3" xfId="7049"/>
    <cellStyle name="20% - akcent 4 3 4 2 5 3 2" xfId="7050"/>
    <cellStyle name="20% - akcent 4 3 4 2 5 4" xfId="7051"/>
    <cellStyle name="20% - akcent 4 3 4 2 6" xfId="7052"/>
    <cellStyle name="20% - akcent 4 3 4 2 6 2" xfId="7053"/>
    <cellStyle name="20% - akcent 4 3 4 2 7" xfId="7054"/>
    <cellStyle name="20% - akcent 4 3 4 2 7 2" xfId="7055"/>
    <cellStyle name="20% - akcent 4 3 4 2 8" xfId="7056"/>
    <cellStyle name="20% - akcent 4 3 4 3" xfId="7057"/>
    <cellStyle name="20% - akcent 4 3 4 3 2" xfId="7058"/>
    <cellStyle name="20% - akcent 4 3 4 3 2 2" xfId="7059"/>
    <cellStyle name="20% - akcent 4 3 4 3 2 2 2" xfId="7060"/>
    <cellStyle name="20% - akcent 4 3 4 3 2 2 2 2" xfId="7061"/>
    <cellStyle name="20% - akcent 4 3 4 3 2 2 3" xfId="7062"/>
    <cellStyle name="20% - akcent 4 3 4 3 2 2 3 2" xfId="7063"/>
    <cellStyle name="20% - akcent 4 3 4 3 2 2 4" xfId="7064"/>
    <cellStyle name="20% - akcent 4 3 4 3 2 3" xfId="7065"/>
    <cellStyle name="20% - akcent 4 3 4 3 2 3 2" xfId="7066"/>
    <cellStyle name="20% - akcent 4 3 4 3 2 4" xfId="7067"/>
    <cellStyle name="20% - akcent 4 3 4 3 2 4 2" xfId="7068"/>
    <cellStyle name="20% - akcent 4 3 4 3 2 5" xfId="7069"/>
    <cellStyle name="20% - akcent 4 3 4 3 3" xfId="7070"/>
    <cellStyle name="20% - akcent 4 3 4 3 3 2" xfId="7071"/>
    <cellStyle name="20% - akcent 4 3 4 3 3 2 2" xfId="7072"/>
    <cellStyle name="20% - akcent 4 3 4 3 3 2 2 2" xfId="7073"/>
    <cellStyle name="20% - akcent 4 3 4 3 3 2 3" xfId="7074"/>
    <cellStyle name="20% - akcent 4 3 4 3 3 2 3 2" xfId="7075"/>
    <cellStyle name="20% - akcent 4 3 4 3 3 2 4" xfId="7076"/>
    <cellStyle name="20% - akcent 4 3 4 3 3 3" xfId="7077"/>
    <cellStyle name="20% - akcent 4 3 4 3 3 3 2" xfId="7078"/>
    <cellStyle name="20% - akcent 4 3 4 3 3 4" xfId="7079"/>
    <cellStyle name="20% - akcent 4 3 4 3 3 4 2" xfId="7080"/>
    <cellStyle name="20% - akcent 4 3 4 3 3 5" xfId="7081"/>
    <cellStyle name="20% - akcent 4 3 4 3 4" xfId="7082"/>
    <cellStyle name="20% - akcent 4 3 4 3 4 2" xfId="7083"/>
    <cellStyle name="20% - akcent 4 3 4 3 4 2 2" xfId="7084"/>
    <cellStyle name="20% - akcent 4 3 4 3 4 2 2 2" xfId="7085"/>
    <cellStyle name="20% - akcent 4 3 4 3 4 2 3" xfId="7086"/>
    <cellStyle name="20% - akcent 4 3 4 3 4 2 3 2" xfId="7087"/>
    <cellStyle name="20% - akcent 4 3 4 3 4 2 4" xfId="7088"/>
    <cellStyle name="20% - akcent 4 3 4 3 4 3" xfId="7089"/>
    <cellStyle name="20% - akcent 4 3 4 3 4 3 2" xfId="7090"/>
    <cellStyle name="20% - akcent 4 3 4 3 4 4" xfId="7091"/>
    <cellStyle name="20% - akcent 4 3 4 3 4 4 2" xfId="7092"/>
    <cellStyle name="20% - akcent 4 3 4 3 4 5" xfId="7093"/>
    <cellStyle name="20% - akcent 4 3 4 3 5" xfId="7094"/>
    <cellStyle name="20% - akcent 4 3 4 3 5 2" xfId="7095"/>
    <cellStyle name="20% - akcent 4 3 4 3 5 2 2" xfId="7096"/>
    <cellStyle name="20% - akcent 4 3 4 3 5 3" xfId="7097"/>
    <cellStyle name="20% - akcent 4 3 4 3 5 3 2" xfId="7098"/>
    <cellStyle name="20% - akcent 4 3 4 3 5 4" xfId="7099"/>
    <cellStyle name="20% - akcent 4 3 4 3 6" xfId="7100"/>
    <cellStyle name="20% - akcent 4 3 4 3 6 2" xfId="7101"/>
    <cellStyle name="20% - akcent 4 3 4 3 7" xfId="7102"/>
    <cellStyle name="20% - akcent 4 3 4 3 7 2" xfId="7103"/>
    <cellStyle name="20% - akcent 4 3 4 3 8" xfId="7104"/>
    <cellStyle name="20% - akcent 4 3 4 4" xfId="7105"/>
    <cellStyle name="20% - akcent 4 3 4 4 2" xfId="7106"/>
    <cellStyle name="20% - akcent 4 3 4 4 2 2" xfId="7107"/>
    <cellStyle name="20% - akcent 4 3 4 4 2 2 2" xfId="7108"/>
    <cellStyle name="20% - akcent 4 3 4 4 2 2 2 2" xfId="7109"/>
    <cellStyle name="20% - akcent 4 3 4 4 2 2 3" xfId="7110"/>
    <cellStyle name="20% - akcent 4 3 4 4 2 2 3 2" xfId="7111"/>
    <cellStyle name="20% - akcent 4 3 4 4 2 2 4" xfId="7112"/>
    <cellStyle name="20% - akcent 4 3 4 4 2 3" xfId="7113"/>
    <cellStyle name="20% - akcent 4 3 4 4 2 3 2" xfId="7114"/>
    <cellStyle name="20% - akcent 4 3 4 4 2 4" xfId="7115"/>
    <cellStyle name="20% - akcent 4 3 4 4 2 4 2" xfId="7116"/>
    <cellStyle name="20% - akcent 4 3 4 4 2 5" xfId="7117"/>
    <cellStyle name="20% - akcent 4 3 4 4 3" xfId="7118"/>
    <cellStyle name="20% - akcent 4 3 4 4 3 2" xfId="7119"/>
    <cellStyle name="20% - akcent 4 3 4 4 3 2 2" xfId="7120"/>
    <cellStyle name="20% - akcent 4 3 4 4 3 3" xfId="7121"/>
    <cellStyle name="20% - akcent 4 3 4 4 3 3 2" xfId="7122"/>
    <cellStyle name="20% - akcent 4 3 4 4 3 4" xfId="7123"/>
    <cellStyle name="20% - akcent 4 3 4 4 4" xfId="7124"/>
    <cellStyle name="20% - akcent 4 3 4 4 4 2" xfId="7125"/>
    <cellStyle name="20% - akcent 4 3 4 4 5" xfId="7126"/>
    <cellStyle name="20% - akcent 4 3 4 4 5 2" xfId="7127"/>
    <cellStyle name="20% - akcent 4 3 4 4 6" xfId="7128"/>
    <cellStyle name="20% - akcent 4 3 4 5" xfId="7129"/>
    <cellStyle name="20% - akcent 4 3 4 5 2" xfId="7130"/>
    <cellStyle name="20% - akcent 4 3 4 5 2 2" xfId="7131"/>
    <cellStyle name="20% - akcent 4 3 4 5 2 2 2" xfId="7132"/>
    <cellStyle name="20% - akcent 4 3 4 5 2 3" xfId="7133"/>
    <cellStyle name="20% - akcent 4 3 4 5 2 3 2" xfId="7134"/>
    <cellStyle name="20% - akcent 4 3 4 5 2 4" xfId="7135"/>
    <cellStyle name="20% - akcent 4 3 4 5 3" xfId="7136"/>
    <cellStyle name="20% - akcent 4 3 4 5 3 2" xfId="7137"/>
    <cellStyle name="20% - akcent 4 3 4 5 4" xfId="7138"/>
    <cellStyle name="20% - akcent 4 3 4 5 4 2" xfId="7139"/>
    <cellStyle name="20% - akcent 4 3 4 5 5" xfId="7140"/>
    <cellStyle name="20% - akcent 4 3 4 6" xfId="7141"/>
    <cellStyle name="20% - akcent 4 3 4 6 2" xfId="7142"/>
    <cellStyle name="20% - akcent 4 3 4 6 2 2" xfId="7143"/>
    <cellStyle name="20% - akcent 4 3 4 6 2 2 2" xfId="7144"/>
    <cellStyle name="20% - akcent 4 3 4 6 2 3" xfId="7145"/>
    <cellStyle name="20% - akcent 4 3 4 6 2 3 2" xfId="7146"/>
    <cellStyle name="20% - akcent 4 3 4 6 2 4" xfId="7147"/>
    <cellStyle name="20% - akcent 4 3 4 6 3" xfId="7148"/>
    <cellStyle name="20% - akcent 4 3 4 6 3 2" xfId="7149"/>
    <cellStyle name="20% - akcent 4 3 4 6 4" xfId="7150"/>
    <cellStyle name="20% - akcent 4 3 4 6 4 2" xfId="7151"/>
    <cellStyle name="20% - akcent 4 3 4 6 5" xfId="7152"/>
    <cellStyle name="20% - akcent 4 3 4 7" xfId="7153"/>
    <cellStyle name="20% - akcent 4 3 4 7 2" xfId="7154"/>
    <cellStyle name="20% - akcent 4 3 4 7 2 2" xfId="7155"/>
    <cellStyle name="20% - akcent 4 3 4 7 2 2 2" xfId="7156"/>
    <cellStyle name="20% - akcent 4 3 4 7 2 3" xfId="7157"/>
    <cellStyle name="20% - akcent 4 3 4 7 2 3 2" xfId="7158"/>
    <cellStyle name="20% - akcent 4 3 4 7 2 4" xfId="7159"/>
    <cellStyle name="20% - akcent 4 3 4 7 3" xfId="7160"/>
    <cellStyle name="20% - akcent 4 3 4 7 3 2" xfId="7161"/>
    <cellStyle name="20% - akcent 4 3 4 7 4" xfId="7162"/>
    <cellStyle name="20% - akcent 4 3 4 7 4 2" xfId="7163"/>
    <cellStyle name="20% - akcent 4 3 4 7 5" xfId="7164"/>
    <cellStyle name="20% - akcent 4 3 4 8" xfId="7165"/>
    <cellStyle name="20% - akcent 4 3 4 8 2" xfId="7166"/>
    <cellStyle name="20% - akcent 4 3 4 8 2 2" xfId="7167"/>
    <cellStyle name="20% - akcent 4 3 4 8 3" xfId="7168"/>
    <cellStyle name="20% - akcent 4 3 4 8 3 2" xfId="7169"/>
    <cellStyle name="20% - akcent 4 3 4 8 4" xfId="7170"/>
    <cellStyle name="20% - akcent 4 3 4 9" xfId="7171"/>
    <cellStyle name="20% - akcent 4 3 4 9 2" xfId="7172"/>
    <cellStyle name="20% - akcent 4 3 5" xfId="7173"/>
    <cellStyle name="20% - akcent 4 3 5 10" xfId="7174"/>
    <cellStyle name="20% - akcent 4 3 5 2" xfId="7175"/>
    <cellStyle name="20% - akcent 4 3 5 2 2" xfId="7176"/>
    <cellStyle name="20% - akcent 4 3 5 2 2 2" xfId="7177"/>
    <cellStyle name="20% - akcent 4 3 5 2 2 2 2" xfId="7178"/>
    <cellStyle name="20% - akcent 4 3 5 2 2 2 2 2" xfId="7179"/>
    <cellStyle name="20% - akcent 4 3 5 2 2 2 3" xfId="7180"/>
    <cellStyle name="20% - akcent 4 3 5 2 2 2 3 2" xfId="7181"/>
    <cellStyle name="20% - akcent 4 3 5 2 2 2 4" xfId="7182"/>
    <cellStyle name="20% - akcent 4 3 5 2 2 3" xfId="7183"/>
    <cellStyle name="20% - akcent 4 3 5 2 2 3 2" xfId="7184"/>
    <cellStyle name="20% - akcent 4 3 5 2 2 4" xfId="7185"/>
    <cellStyle name="20% - akcent 4 3 5 2 2 4 2" xfId="7186"/>
    <cellStyle name="20% - akcent 4 3 5 2 2 5" xfId="7187"/>
    <cellStyle name="20% - akcent 4 3 5 2 3" xfId="7188"/>
    <cellStyle name="20% - akcent 4 3 5 2 3 2" xfId="7189"/>
    <cellStyle name="20% - akcent 4 3 5 2 3 2 2" xfId="7190"/>
    <cellStyle name="20% - akcent 4 3 5 2 3 2 2 2" xfId="7191"/>
    <cellStyle name="20% - akcent 4 3 5 2 3 2 3" xfId="7192"/>
    <cellStyle name="20% - akcent 4 3 5 2 3 2 3 2" xfId="7193"/>
    <cellStyle name="20% - akcent 4 3 5 2 3 2 4" xfId="7194"/>
    <cellStyle name="20% - akcent 4 3 5 2 3 3" xfId="7195"/>
    <cellStyle name="20% - akcent 4 3 5 2 3 3 2" xfId="7196"/>
    <cellStyle name="20% - akcent 4 3 5 2 3 4" xfId="7197"/>
    <cellStyle name="20% - akcent 4 3 5 2 3 4 2" xfId="7198"/>
    <cellStyle name="20% - akcent 4 3 5 2 3 5" xfId="7199"/>
    <cellStyle name="20% - akcent 4 3 5 2 4" xfId="7200"/>
    <cellStyle name="20% - akcent 4 3 5 2 4 2" xfId="7201"/>
    <cellStyle name="20% - akcent 4 3 5 2 4 2 2" xfId="7202"/>
    <cellStyle name="20% - akcent 4 3 5 2 4 2 2 2" xfId="7203"/>
    <cellStyle name="20% - akcent 4 3 5 2 4 2 3" xfId="7204"/>
    <cellStyle name="20% - akcent 4 3 5 2 4 2 3 2" xfId="7205"/>
    <cellStyle name="20% - akcent 4 3 5 2 4 2 4" xfId="7206"/>
    <cellStyle name="20% - akcent 4 3 5 2 4 3" xfId="7207"/>
    <cellStyle name="20% - akcent 4 3 5 2 4 3 2" xfId="7208"/>
    <cellStyle name="20% - akcent 4 3 5 2 4 4" xfId="7209"/>
    <cellStyle name="20% - akcent 4 3 5 2 4 4 2" xfId="7210"/>
    <cellStyle name="20% - akcent 4 3 5 2 4 5" xfId="7211"/>
    <cellStyle name="20% - akcent 4 3 5 2 5" xfId="7212"/>
    <cellStyle name="20% - akcent 4 3 5 2 5 2" xfId="7213"/>
    <cellStyle name="20% - akcent 4 3 5 2 5 2 2" xfId="7214"/>
    <cellStyle name="20% - akcent 4 3 5 2 5 3" xfId="7215"/>
    <cellStyle name="20% - akcent 4 3 5 2 5 3 2" xfId="7216"/>
    <cellStyle name="20% - akcent 4 3 5 2 5 4" xfId="7217"/>
    <cellStyle name="20% - akcent 4 3 5 2 6" xfId="7218"/>
    <cellStyle name="20% - akcent 4 3 5 2 6 2" xfId="7219"/>
    <cellStyle name="20% - akcent 4 3 5 2 7" xfId="7220"/>
    <cellStyle name="20% - akcent 4 3 5 2 7 2" xfId="7221"/>
    <cellStyle name="20% - akcent 4 3 5 2 8" xfId="7222"/>
    <cellStyle name="20% - akcent 4 3 5 3" xfId="7223"/>
    <cellStyle name="20% - akcent 4 3 5 3 2" xfId="7224"/>
    <cellStyle name="20% - akcent 4 3 5 3 2 2" xfId="7225"/>
    <cellStyle name="20% - akcent 4 3 5 3 2 2 2" xfId="7226"/>
    <cellStyle name="20% - akcent 4 3 5 3 2 2 2 2" xfId="7227"/>
    <cellStyle name="20% - akcent 4 3 5 3 2 2 3" xfId="7228"/>
    <cellStyle name="20% - akcent 4 3 5 3 2 2 3 2" xfId="7229"/>
    <cellStyle name="20% - akcent 4 3 5 3 2 2 4" xfId="7230"/>
    <cellStyle name="20% - akcent 4 3 5 3 2 3" xfId="7231"/>
    <cellStyle name="20% - akcent 4 3 5 3 2 3 2" xfId="7232"/>
    <cellStyle name="20% - akcent 4 3 5 3 2 4" xfId="7233"/>
    <cellStyle name="20% - akcent 4 3 5 3 2 4 2" xfId="7234"/>
    <cellStyle name="20% - akcent 4 3 5 3 2 5" xfId="7235"/>
    <cellStyle name="20% - akcent 4 3 5 3 3" xfId="7236"/>
    <cellStyle name="20% - akcent 4 3 5 3 3 2" xfId="7237"/>
    <cellStyle name="20% - akcent 4 3 5 3 3 2 2" xfId="7238"/>
    <cellStyle name="20% - akcent 4 3 5 3 3 2 2 2" xfId="7239"/>
    <cellStyle name="20% - akcent 4 3 5 3 3 2 3" xfId="7240"/>
    <cellStyle name="20% - akcent 4 3 5 3 3 2 3 2" xfId="7241"/>
    <cellStyle name="20% - akcent 4 3 5 3 3 2 4" xfId="7242"/>
    <cellStyle name="20% - akcent 4 3 5 3 3 3" xfId="7243"/>
    <cellStyle name="20% - akcent 4 3 5 3 3 3 2" xfId="7244"/>
    <cellStyle name="20% - akcent 4 3 5 3 3 4" xfId="7245"/>
    <cellStyle name="20% - akcent 4 3 5 3 3 4 2" xfId="7246"/>
    <cellStyle name="20% - akcent 4 3 5 3 3 5" xfId="7247"/>
    <cellStyle name="20% - akcent 4 3 5 3 4" xfId="7248"/>
    <cellStyle name="20% - akcent 4 3 5 3 4 2" xfId="7249"/>
    <cellStyle name="20% - akcent 4 3 5 3 4 2 2" xfId="7250"/>
    <cellStyle name="20% - akcent 4 3 5 3 4 2 2 2" xfId="7251"/>
    <cellStyle name="20% - akcent 4 3 5 3 4 2 3" xfId="7252"/>
    <cellStyle name="20% - akcent 4 3 5 3 4 2 3 2" xfId="7253"/>
    <cellStyle name="20% - akcent 4 3 5 3 4 2 4" xfId="7254"/>
    <cellStyle name="20% - akcent 4 3 5 3 4 3" xfId="7255"/>
    <cellStyle name="20% - akcent 4 3 5 3 4 3 2" xfId="7256"/>
    <cellStyle name="20% - akcent 4 3 5 3 4 4" xfId="7257"/>
    <cellStyle name="20% - akcent 4 3 5 3 4 4 2" xfId="7258"/>
    <cellStyle name="20% - akcent 4 3 5 3 4 5" xfId="7259"/>
    <cellStyle name="20% - akcent 4 3 5 3 5" xfId="7260"/>
    <cellStyle name="20% - akcent 4 3 5 3 5 2" xfId="7261"/>
    <cellStyle name="20% - akcent 4 3 5 3 5 2 2" xfId="7262"/>
    <cellStyle name="20% - akcent 4 3 5 3 5 3" xfId="7263"/>
    <cellStyle name="20% - akcent 4 3 5 3 5 3 2" xfId="7264"/>
    <cellStyle name="20% - akcent 4 3 5 3 5 4" xfId="7265"/>
    <cellStyle name="20% - akcent 4 3 5 3 6" xfId="7266"/>
    <cellStyle name="20% - akcent 4 3 5 3 6 2" xfId="7267"/>
    <cellStyle name="20% - akcent 4 3 5 3 7" xfId="7268"/>
    <cellStyle name="20% - akcent 4 3 5 3 7 2" xfId="7269"/>
    <cellStyle name="20% - akcent 4 3 5 3 8" xfId="7270"/>
    <cellStyle name="20% - akcent 4 3 5 4" xfId="7271"/>
    <cellStyle name="20% - akcent 4 3 5 4 2" xfId="7272"/>
    <cellStyle name="20% - akcent 4 3 5 4 2 2" xfId="7273"/>
    <cellStyle name="20% - akcent 4 3 5 4 2 2 2" xfId="7274"/>
    <cellStyle name="20% - akcent 4 3 5 4 2 3" xfId="7275"/>
    <cellStyle name="20% - akcent 4 3 5 4 2 3 2" xfId="7276"/>
    <cellStyle name="20% - akcent 4 3 5 4 2 4" xfId="7277"/>
    <cellStyle name="20% - akcent 4 3 5 4 3" xfId="7278"/>
    <cellStyle name="20% - akcent 4 3 5 4 3 2" xfId="7279"/>
    <cellStyle name="20% - akcent 4 3 5 4 4" xfId="7280"/>
    <cellStyle name="20% - akcent 4 3 5 4 4 2" xfId="7281"/>
    <cellStyle name="20% - akcent 4 3 5 4 5" xfId="7282"/>
    <cellStyle name="20% - akcent 4 3 5 5" xfId="7283"/>
    <cellStyle name="20% - akcent 4 3 5 5 2" xfId="7284"/>
    <cellStyle name="20% - akcent 4 3 5 5 2 2" xfId="7285"/>
    <cellStyle name="20% - akcent 4 3 5 5 2 2 2" xfId="7286"/>
    <cellStyle name="20% - akcent 4 3 5 5 2 3" xfId="7287"/>
    <cellStyle name="20% - akcent 4 3 5 5 2 3 2" xfId="7288"/>
    <cellStyle name="20% - akcent 4 3 5 5 2 4" xfId="7289"/>
    <cellStyle name="20% - akcent 4 3 5 5 3" xfId="7290"/>
    <cellStyle name="20% - akcent 4 3 5 5 3 2" xfId="7291"/>
    <cellStyle name="20% - akcent 4 3 5 5 4" xfId="7292"/>
    <cellStyle name="20% - akcent 4 3 5 5 4 2" xfId="7293"/>
    <cellStyle name="20% - akcent 4 3 5 5 5" xfId="7294"/>
    <cellStyle name="20% - akcent 4 3 5 6" xfId="7295"/>
    <cellStyle name="20% - akcent 4 3 5 6 2" xfId="7296"/>
    <cellStyle name="20% - akcent 4 3 5 6 2 2" xfId="7297"/>
    <cellStyle name="20% - akcent 4 3 5 6 2 2 2" xfId="7298"/>
    <cellStyle name="20% - akcent 4 3 5 6 2 3" xfId="7299"/>
    <cellStyle name="20% - akcent 4 3 5 6 2 3 2" xfId="7300"/>
    <cellStyle name="20% - akcent 4 3 5 6 2 4" xfId="7301"/>
    <cellStyle name="20% - akcent 4 3 5 6 3" xfId="7302"/>
    <cellStyle name="20% - akcent 4 3 5 6 3 2" xfId="7303"/>
    <cellStyle name="20% - akcent 4 3 5 6 4" xfId="7304"/>
    <cellStyle name="20% - akcent 4 3 5 6 4 2" xfId="7305"/>
    <cellStyle name="20% - akcent 4 3 5 6 5" xfId="7306"/>
    <cellStyle name="20% - akcent 4 3 5 7" xfId="7307"/>
    <cellStyle name="20% - akcent 4 3 5 7 2" xfId="7308"/>
    <cellStyle name="20% - akcent 4 3 5 7 2 2" xfId="7309"/>
    <cellStyle name="20% - akcent 4 3 5 7 3" xfId="7310"/>
    <cellStyle name="20% - akcent 4 3 5 7 3 2" xfId="7311"/>
    <cellStyle name="20% - akcent 4 3 5 7 4" xfId="7312"/>
    <cellStyle name="20% - akcent 4 3 5 8" xfId="7313"/>
    <cellStyle name="20% - akcent 4 3 5 8 2" xfId="7314"/>
    <cellStyle name="20% - akcent 4 3 5 9" xfId="7315"/>
    <cellStyle name="20% - akcent 4 3 5 9 2" xfId="7316"/>
    <cellStyle name="20% - akcent 4 3 6" xfId="7317"/>
    <cellStyle name="20% - akcent 4 3 6 10" xfId="7318"/>
    <cellStyle name="20% - akcent 4 3 6 2" xfId="7319"/>
    <cellStyle name="20% - akcent 4 3 6 2 2" xfId="7320"/>
    <cellStyle name="20% - akcent 4 3 6 2 2 2" xfId="7321"/>
    <cellStyle name="20% - akcent 4 3 6 2 2 2 2" xfId="7322"/>
    <cellStyle name="20% - akcent 4 3 6 2 2 2 2 2" xfId="7323"/>
    <cellStyle name="20% - akcent 4 3 6 2 2 2 3" xfId="7324"/>
    <cellStyle name="20% - akcent 4 3 6 2 2 2 3 2" xfId="7325"/>
    <cellStyle name="20% - akcent 4 3 6 2 2 2 4" xfId="7326"/>
    <cellStyle name="20% - akcent 4 3 6 2 2 3" xfId="7327"/>
    <cellStyle name="20% - akcent 4 3 6 2 2 3 2" xfId="7328"/>
    <cellStyle name="20% - akcent 4 3 6 2 2 4" xfId="7329"/>
    <cellStyle name="20% - akcent 4 3 6 2 2 4 2" xfId="7330"/>
    <cellStyle name="20% - akcent 4 3 6 2 2 5" xfId="7331"/>
    <cellStyle name="20% - akcent 4 3 6 2 3" xfId="7332"/>
    <cellStyle name="20% - akcent 4 3 6 2 3 2" xfId="7333"/>
    <cellStyle name="20% - akcent 4 3 6 2 3 2 2" xfId="7334"/>
    <cellStyle name="20% - akcent 4 3 6 2 3 2 2 2" xfId="7335"/>
    <cellStyle name="20% - akcent 4 3 6 2 3 2 3" xfId="7336"/>
    <cellStyle name="20% - akcent 4 3 6 2 3 2 3 2" xfId="7337"/>
    <cellStyle name="20% - akcent 4 3 6 2 3 2 4" xfId="7338"/>
    <cellStyle name="20% - akcent 4 3 6 2 3 3" xfId="7339"/>
    <cellStyle name="20% - akcent 4 3 6 2 3 3 2" xfId="7340"/>
    <cellStyle name="20% - akcent 4 3 6 2 3 4" xfId="7341"/>
    <cellStyle name="20% - akcent 4 3 6 2 3 4 2" xfId="7342"/>
    <cellStyle name="20% - akcent 4 3 6 2 3 5" xfId="7343"/>
    <cellStyle name="20% - akcent 4 3 6 2 4" xfId="7344"/>
    <cellStyle name="20% - akcent 4 3 6 2 4 2" xfId="7345"/>
    <cellStyle name="20% - akcent 4 3 6 2 4 2 2" xfId="7346"/>
    <cellStyle name="20% - akcent 4 3 6 2 4 2 2 2" xfId="7347"/>
    <cellStyle name="20% - akcent 4 3 6 2 4 2 3" xfId="7348"/>
    <cellStyle name="20% - akcent 4 3 6 2 4 2 3 2" xfId="7349"/>
    <cellStyle name="20% - akcent 4 3 6 2 4 2 4" xfId="7350"/>
    <cellStyle name="20% - akcent 4 3 6 2 4 3" xfId="7351"/>
    <cellStyle name="20% - akcent 4 3 6 2 4 3 2" xfId="7352"/>
    <cellStyle name="20% - akcent 4 3 6 2 4 4" xfId="7353"/>
    <cellStyle name="20% - akcent 4 3 6 2 4 4 2" xfId="7354"/>
    <cellStyle name="20% - akcent 4 3 6 2 4 5" xfId="7355"/>
    <cellStyle name="20% - akcent 4 3 6 2 5" xfId="7356"/>
    <cellStyle name="20% - akcent 4 3 6 2 5 2" xfId="7357"/>
    <cellStyle name="20% - akcent 4 3 6 2 5 2 2" xfId="7358"/>
    <cellStyle name="20% - akcent 4 3 6 2 5 3" xfId="7359"/>
    <cellStyle name="20% - akcent 4 3 6 2 5 3 2" xfId="7360"/>
    <cellStyle name="20% - akcent 4 3 6 2 5 4" xfId="7361"/>
    <cellStyle name="20% - akcent 4 3 6 2 6" xfId="7362"/>
    <cellStyle name="20% - akcent 4 3 6 2 6 2" xfId="7363"/>
    <cellStyle name="20% - akcent 4 3 6 2 7" xfId="7364"/>
    <cellStyle name="20% - akcent 4 3 6 2 7 2" xfId="7365"/>
    <cellStyle name="20% - akcent 4 3 6 2 8" xfId="7366"/>
    <cellStyle name="20% - akcent 4 3 6 3" xfId="7367"/>
    <cellStyle name="20% - akcent 4 3 6 3 2" xfId="7368"/>
    <cellStyle name="20% - akcent 4 3 6 3 2 2" xfId="7369"/>
    <cellStyle name="20% - akcent 4 3 6 3 2 2 2" xfId="7370"/>
    <cellStyle name="20% - akcent 4 3 6 3 2 2 2 2" xfId="7371"/>
    <cellStyle name="20% - akcent 4 3 6 3 2 2 3" xfId="7372"/>
    <cellStyle name="20% - akcent 4 3 6 3 2 2 3 2" xfId="7373"/>
    <cellStyle name="20% - akcent 4 3 6 3 2 2 4" xfId="7374"/>
    <cellStyle name="20% - akcent 4 3 6 3 2 3" xfId="7375"/>
    <cellStyle name="20% - akcent 4 3 6 3 2 3 2" xfId="7376"/>
    <cellStyle name="20% - akcent 4 3 6 3 2 4" xfId="7377"/>
    <cellStyle name="20% - akcent 4 3 6 3 2 4 2" xfId="7378"/>
    <cellStyle name="20% - akcent 4 3 6 3 2 5" xfId="7379"/>
    <cellStyle name="20% - akcent 4 3 6 3 3" xfId="7380"/>
    <cellStyle name="20% - akcent 4 3 6 3 3 2" xfId="7381"/>
    <cellStyle name="20% - akcent 4 3 6 3 3 2 2" xfId="7382"/>
    <cellStyle name="20% - akcent 4 3 6 3 3 2 2 2" xfId="7383"/>
    <cellStyle name="20% - akcent 4 3 6 3 3 2 3" xfId="7384"/>
    <cellStyle name="20% - akcent 4 3 6 3 3 2 3 2" xfId="7385"/>
    <cellStyle name="20% - akcent 4 3 6 3 3 2 4" xfId="7386"/>
    <cellStyle name="20% - akcent 4 3 6 3 3 3" xfId="7387"/>
    <cellStyle name="20% - akcent 4 3 6 3 3 3 2" xfId="7388"/>
    <cellStyle name="20% - akcent 4 3 6 3 3 4" xfId="7389"/>
    <cellStyle name="20% - akcent 4 3 6 3 3 4 2" xfId="7390"/>
    <cellStyle name="20% - akcent 4 3 6 3 3 5" xfId="7391"/>
    <cellStyle name="20% - akcent 4 3 6 3 4" xfId="7392"/>
    <cellStyle name="20% - akcent 4 3 6 3 4 2" xfId="7393"/>
    <cellStyle name="20% - akcent 4 3 6 3 4 2 2" xfId="7394"/>
    <cellStyle name="20% - akcent 4 3 6 3 4 2 2 2" xfId="7395"/>
    <cellStyle name="20% - akcent 4 3 6 3 4 2 3" xfId="7396"/>
    <cellStyle name="20% - akcent 4 3 6 3 4 2 3 2" xfId="7397"/>
    <cellStyle name="20% - akcent 4 3 6 3 4 2 4" xfId="7398"/>
    <cellStyle name="20% - akcent 4 3 6 3 4 3" xfId="7399"/>
    <cellStyle name="20% - akcent 4 3 6 3 4 3 2" xfId="7400"/>
    <cellStyle name="20% - akcent 4 3 6 3 4 4" xfId="7401"/>
    <cellStyle name="20% - akcent 4 3 6 3 4 4 2" xfId="7402"/>
    <cellStyle name="20% - akcent 4 3 6 3 4 5" xfId="7403"/>
    <cellStyle name="20% - akcent 4 3 6 3 5" xfId="7404"/>
    <cellStyle name="20% - akcent 4 3 6 3 5 2" xfId="7405"/>
    <cellStyle name="20% - akcent 4 3 6 3 5 2 2" xfId="7406"/>
    <cellStyle name="20% - akcent 4 3 6 3 5 3" xfId="7407"/>
    <cellStyle name="20% - akcent 4 3 6 3 5 3 2" xfId="7408"/>
    <cellStyle name="20% - akcent 4 3 6 3 5 4" xfId="7409"/>
    <cellStyle name="20% - akcent 4 3 6 3 6" xfId="7410"/>
    <cellStyle name="20% - akcent 4 3 6 3 6 2" xfId="7411"/>
    <cellStyle name="20% - akcent 4 3 6 3 7" xfId="7412"/>
    <cellStyle name="20% - akcent 4 3 6 3 7 2" xfId="7413"/>
    <cellStyle name="20% - akcent 4 3 6 3 8" xfId="7414"/>
    <cellStyle name="20% - akcent 4 3 6 4" xfId="7415"/>
    <cellStyle name="20% - akcent 4 3 6 4 2" xfId="7416"/>
    <cellStyle name="20% - akcent 4 3 6 4 2 2" xfId="7417"/>
    <cellStyle name="20% - akcent 4 3 6 4 2 2 2" xfId="7418"/>
    <cellStyle name="20% - akcent 4 3 6 4 2 3" xfId="7419"/>
    <cellStyle name="20% - akcent 4 3 6 4 2 3 2" xfId="7420"/>
    <cellStyle name="20% - akcent 4 3 6 4 2 4" xfId="7421"/>
    <cellStyle name="20% - akcent 4 3 6 4 3" xfId="7422"/>
    <cellStyle name="20% - akcent 4 3 6 4 3 2" xfId="7423"/>
    <cellStyle name="20% - akcent 4 3 6 4 4" xfId="7424"/>
    <cellStyle name="20% - akcent 4 3 6 4 4 2" xfId="7425"/>
    <cellStyle name="20% - akcent 4 3 6 4 5" xfId="7426"/>
    <cellStyle name="20% - akcent 4 3 6 5" xfId="7427"/>
    <cellStyle name="20% - akcent 4 3 6 5 2" xfId="7428"/>
    <cellStyle name="20% - akcent 4 3 6 5 2 2" xfId="7429"/>
    <cellStyle name="20% - akcent 4 3 6 5 2 2 2" xfId="7430"/>
    <cellStyle name="20% - akcent 4 3 6 5 2 3" xfId="7431"/>
    <cellStyle name="20% - akcent 4 3 6 5 2 3 2" xfId="7432"/>
    <cellStyle name="20% - akcent 4 3 6 5 2 4" xfId="7433"/>
    <cellStyle name="20% - akcent 4 3 6 5 3" xfId="7434"/>
    <cellStyle name="20% - akcent 4 3 6 5 3 2" xfId="7435"/>
    <cellStyle name="20% - akcent 4 3 6 5 4" xfId="7436"/>
    <cellStyle name="20% - akcent 4 3 6 5 4 2" xfId="7437"/>
    <cellStyle name="20% - akcent 4 3 6 5 5" xfId="7438"/>
    <cellStyle name="20% - akcent 4 3 6 6" xfId="7439"/>
    <cellStyle name="20% - akcent 4 3 6 6 2" xfId="7440"/>
    <cellStyle name="20% - akcent 4 3 6 6 2 2" xfId="7441"/>
    <cellStyle name="20% - akcent 4 3 6 6 2 2 2" xfId="7442"/>
    <cellStyle name="20% - akcent 4 3 6 6 2 3" xfId="7443"/>
    <cellStyle name="20% - akcent 4 3 6 6 2 3 2" xfId="7444"/>
    <cellStyle name="20% - akcent 4 3 6 6 2 4" xfId="7445"/>
    <cellStyle name="20% - akcent 4 3 6 6 3" xfId="7446"/>
    <cellStyle name="20% - akcent 4 3 6 6 3 2" xfId="7447"/>
    <cellStyle name="20% - akcent 4 3 6 6 4" xfId="7448"/>
    <cellStyle name="20% - akcent 4 3 6 6 4 2" xfId="7449"/>
    <cellStyle name="20% - akcent 4 3 6 6 5" xfId="7450"/>
    <cellStyle name="20% - akcent 4 3 6 7" xfId="7451"/>
    <cellStyle name="20% - akcent 4 3 6 7 2" xfId="7452"/>
    <cellStyle name="20% - akcent 4 3 6 7 2 2" xfId="7453"/>
    <cellStyle name="20% - akcent 4 3 6 7 3" xfId="7454"/>
    <cellStyle name="20% - akcent 4 3 6 7 3 2" xfId="7455"/>
    <cellStyle name="20% - akcent 4 3 6 7 4" xfId="7456"/>
    <cellStyle name="20% - akcent 4 3 6 8" xfId="7457"/>
    <cellStyle name="20% - akcent 4 3 6 8 2" xfId="7458"/>
    <cellStyle name="20% - akcent 4 3 6 9" xfId="7459"/>
    <cellStyle name="20% - akcent 4 3 6 9 2" xfId="7460"/>
    <cellStyle name="20% - akcent 4 3 7" xfId="7461"/>
    <cellStyle name="20% - akcent 4 3 7 2" xfId="7462"/>
    <cellStyle name="20% - akcent 4 3 7 2 2" xfId="7463"/>
    <cellStyle name="20% - akcent 4 3 7 2 2 2" xfId="7464"/>
    <cellStyle name="20% - akcent 4 3 7 2 2 2 2" xfId="7465"/>
    <cellStyle name="20% - akcent 4 3 7 2 2 2 2 2" xfId="7466"/>
    <cellStyle name="20% - akcent 4 3 7 2 2 2 3" xfId="7467"/>
    <cellStyle name="20% - akcent 4 3 7 2 2 2 3 2" xfId="7468"/>
    <cellStyle name="20% - akcent 4 3 7 2 2 2 4" xfId="7469"/>
    <cellStyle name="20% - akcent 4 3 7 2 2 3" xfId="7470"/>
    <cellStyle name="20% - akcent 4 3 7 2 2 3 2" xfId="7471"/>
    <cellStyle name="20% - akcent 4 3 7 2 2 4" xfId="7472"/>
    <cellStyle name="20% - akcent 4 3 7 2 2 4 2" xfId="7473"/>
    <cellStyle name="20% - akcent 4 3 7 2 2 5" xfId="7474"/>
    <cellStyle name="20% - akcent 4 3 7 2 3" xfId="7475"/>
    <cellStyle name="20% - akcent 4 3 7 2 3 2" xfId="7476"/>
    <cellStyle name="20% - akcent 4 3 7 2 3 2 2" xfId="7477"/>
    <cellStyle name="20% - akcent 4 3 7 2 3 2 2 2" xfId="7478"/>
    <cellStyle name="20% - akcent 4 3 7 2 3 2 3" xfId="7479"/>
    <cellStyle name="20% - akcent 4 3 7 2 3 2 3 2" xfId="7480"/>
    <cellStyle name="20% - akcent 4 3 7 2 3 2 4" xfId="7481"/>
    <cellStyle name="20% - akcent 4 3 7 2 3 3" xfId="7482"/>
    <cellStyle name="20% - akcent 4 3 7 2 3 3 2" xfId="7483"/>
    <cellStyle name="20% - akcent 4 3 7 2 3 4" xfId="7484"/>
    <cellStyle name="20% - akcent 4 3 7 2 3 4 2" xfId="7485"/>
    <cellStyle name="20% - akcent 4 3 7 2 3 5" xfId="7486"/>
    <cellStyle name="20% - akcent 4 3 7 2 4" xfId="7487"/>
    <cellStyle name="20% - akcent 4 3 7 2 4 2" xfId="7488"/>
    <cellStyle name="20% - akcent 4 3 7 2 4 2 2" xfId="7489"/>
    <cellStyle name="20% - akcent 4 3 7 2 4 2 2 2" xfId="7490"/>
    <cellStyle name="20% - akcent 4 3 7 2 4 2 3" xfId="7491"/>
    <cellStyle name="20% - akcent 4 3 7 2 4 2 3 2" xfId="7492"/>
    <cellStyle name="20% - akcent 4 3 7 2 4 2 4" xfId="7493"/>
    <cellStyle name="20% - akcent 4 3 7 2 4 3" xfId="7494"/>
    <cellStyle name="20% - akcent 4 3 7 2 4 3 2" xfId="7495"/>
    <cellStyle name="20% - akcent 4 3 7 2 4 4" xfId="7496"/>
    <cellStyle name="20% - akcent 4 3 7 2 4 4 2" xfId="7497"/>
    <cellStyle name="20% - akcent 4 3 7 2 4 5" xfId="7498"/>
    <cellStyle name="20% - akcent 4 3 7 2 5" xfId="7499"/>
    <cellStyle name="20% - akcent 4 3 7 2 5 2" xfId="7500"/>
    <cellStyle name="20% - akcent 4 3 7 2 5 2 2" xfId="7501"/>
    <cellStyle name="20% - akcent 4 3 7 2 5 3" xfId="7502"/>
    <cellStyle name="20% - akcent 4 3 7 2 5 3 2" xfId="7503"/>
    <cellStyle name="20% - akcent 4 3 7 2 5 4" xfId="7504"/>
    <cellStyle name="20% - akcent 4 3 7 2 6" xfId="7505"/>
    <cellStyle name="20% - akcent 4 3 7 2 6 2" xfId="7506"/>
    <cellStyle name="20% - akcent 4 3 7 2 7" xfId="7507"/>
    <cellStyle name="20% - akcent 4 3 7 2 7 2" xfId="7508"/>
    <cellStyle name="20% - akcent 4 3 7 2 8" xfId="7509"/>
    <cellStyle name="20% - akcent 4 3 7 3" xfId="7510"/>
    <cellStyle name="20% - akcent 4 3 7 3 2" xfId="7511"/>
    <cellStyle name="20% - akcent 4 3 7 3 2 2" xfId="7512"/>
    <cellStyle name="20% - akcent 4 3 7 3 2 2 2" xfId="7513"/>
    <cellStyle name="20% - akcent 4 3 7 3 2 3" xfId="7514"/>
    <cellStyle name="20% - akcent 4 3 7 3 2 3 2" xfId="7515"/>
    <cellStyle name="20% - akcent 4 3 7 3 2 4" xfId="7516"/>
    <cellStyle name="20% - akcent 4 3 7 3 3" xfId="7517"/>
    <cellStyle name="20% - akcent 4 3 7 3 3 2" xfId="7518"/>
    <cellStyle name="20% - akcent 4 3 7 3 4" xfId="7519"/>
    <cellStyle name="20% - akcent 4 3 7 3 4 2" xfId="7520"/>
    <cellStyle name="20% - akcent 4 3 7 3 5" xfId="7521"/>
    <cellStyle name="20% - akcent 4 3 7 4" xfId="7522"/>
    <cellStyle name="20% - akcent 4 3 7 4 2" xfId="7523"/>
    <cellStyle name="20% - akcent 4 3 7 4 2 2" xfId="7524"/>
    <cellStyle name="20% - akcent 4 3 7 4 2 2 2" xfId="7525"/>
    <cellStyle name="20% - akcent 4 3 7 4 2 3" xfId="7526"/>
    <cellStyle name="20% - akcent 4 3 7 4 2 3 2" xfId="7527"/>
    <cellStyle name="20% - akcent 4 3 7 4 2 4" xfId="7528"/>
    <cellStyle name="20% - akcent 4 3 7 4 3" xfId="7529"/>
    <cellStyle name="20% - akcent 4 3 7 4 3 2" xfId="7530"/>
    <cellStyle name="20% - akcent 4 3 7 4 4" xfId="7531"/>
    <cellStyle name="20% - akcent 4 3 7 4 4 2" xfId="7532"/>
    <cellStyle name="20% - akcent 4 3 7 4 5" xfId="7533"/>
    <cellStyle name="20% - akcent 4 3 7 5" xfId="7534"/>
    <cellStyle name="20% - akcent 4 3 7 5 2" xfId="7535"/>
    <cellStyle name="20% - akcent 4 3 7 5 2 2" xfId="7536"/>
    <cellStyle name="20% - akcent 4 3 7 5 2 2 2" xfId="7537"/>
    <cellStyle name="20% - akcent 4 3 7 5 2 3" xfId="7538"/>
    <cellStyle name="20% - akcent 4 3 7 5 2 3 2" xfId="7539"/>
    <cellStyle name="20% - akcent 4 3 7 5 2 4" xfId="7540"/>
    <cellStyle name="20% - akcent 4 3 7 5 3" xfId="7541"/>
    <cellStyle name="20% - akcent 4 3 7 5 3 2" xfId="7542"/>
    <cellStyle name="20% - akcent 4 3 7 5 4" xfId="7543"/>
    <cellStyle name="20% - akcent 4 3 7 5 4 2" xfId="7544"/>
    <cellStyle name="20% - akcent 4 3 7 5 5" xfId="7545"/>
    <cellStyle name="20% - akcent 4 3 7 6" xfId="7546"/>
    <cellStyle name="20% - akcent 4 3 7 6 2" xfId="7547"/>
    <cellStyle name="20% - akcent 4 3 7 6 2 2" xfId="7548"/>
    <cellStyle name="20% - akcent 4 3 7 6 3" xfId="7549"/>
    <cellStyle name="20% - akcent 4 3 7 6 3 2" xfId="7550"/>
    <cellStyle name="20% - akcent 4 3 7 6 4" xfId="7551"/>
    <cellStyle name="20% - akcent 4 3 7 7" xfId="7552"/>
    <cellStyle name="20% - akcent 4 3 7 7 2" xfId="7553"/>
    <cellStyle name="20% - akcent 4 3 7 8" xfId="7554"/>
    <cellStyle name="20% - akcent 4 3 7 8 2" xfId="7555"/>
    <cellStyle name="20% - akcent 4 3 7 9" xfId="7556"/>
    <cellStyle name="20% - akcent 4 3 8" xfId="7557"/>
    <cellStyle name="20% - akcent 4 3 8 2" xfId="7558"/>
    <cellStyle name="20% - akcent 4 3 8 2 2" xfId="7559"/>
    <cellStyle name="20% - akcent 4 3 8 2 2 2" xfId="7560"/>
    <cellStyle name="20% - akcent 4 3 8 2 2 2 2" xfId="7561"/>
    <cellStyle name="20% - akcent 4 3 8 2 2 2 2 2" xfId="7562"/>
    <cellStyle name="20% - akcent 4 3 8 2 2 2 3" xfId="7563"/>
    <cellStyle name="20% - akcent 4 3 8 2 2 2 3 2" xfId="7564"/>
    <cellStyle name="20% - akcent 4 3 8 2 2 2 4" xfId="7565"/>
    <cellStyle name="20% - akcent 4 3 8 2 2 3" xfId="7566"/>
    <cellStyle name="20% - akcent 4 3 8 2 2 3 2" xfId="7567"/>
    <cellStyle name="20% - akcent 4 3 8 2 2 4" xfId="7568"/>
    <cellStyle name="20% - akcent 4 3 8 2 2 4 2" xfId="7569"/>
    <cellStyle name="20% - akcent 4 3 8 2 2 5" xfId="7570"/>
    <cellStyle name="20% - akcent 4 3 8 2 3" xfId="7571"/>
    <cellStyle name="20% - akcent 4 3 8 2 3 2" xfId="7572"/>
    <cellStyle name="20% - akcent 4 3 8 2 3 2 2" xfId="7573"/>
    <cellStyle name="20% - akcent 4 3 8 2 3 2 2 2" xfId="7574"/>
    <cellStyle name="20% - akcent 4 3 8 2 3 2 3" xfId="7575"/>
    <cellStyle name="20% - akcent 4 3 8 2 3 2 3 2" xfId="7576"/>
    <cellStyle name="20% - akcent 4 3 8 2 3 2 4" xfId="7577"/>
    <cellStyle name="20% - akcent 4 3 8 2 3 3" xfId="7578"/>
    <cellStyle name="20% - akcent 4 3 8 2 3 3 2" xfId="7579"/>
    <cellStyle name="20% - akcent 4 3 8 2 3 4" xfId="7580"/>
    <cellStyle name="20% - akcent 4 3 8 2 3 4 2" xfId="7581"/>
    <cellStyle name="20% - akcent 4 3 8 2 3 5" xfId="7582"/>
    <cellStyle name="20% - akcent 4 3 8 2 4" xfId="7583"/>
    <cellStyle name="20% - akcent 4 3 8 2 4 2" xfId="7584"/>
    <cellStyle name="20% - akcent 4 3 8 2 4 2 2" xfId="7585"/>
    <cellStyle name="20% - akcent 4 3 8 2 4 2 2 2" xfId="7586"/>
    <cellStyle name="20% - akcent 4 3 8 2 4 2 3" xfId="7587"/>
    <cellStyle name="20% - akcent 4 3 8 2 4 2 3 2" xfId="7588"/>
    <cellStyle name="20% - akcent 4 3 8 2 4 2 4" xfId="7589"/>
    <cellStyle name="20% - akcent 4 3 8 2 4 3" xfId="7590"/>
    <cellStyle name="20% - akcent 4 3 8 2 4 3 2" xfId="7591"/>
    <cellStyle name="20% - akcent 4 3 8 2 4 4" xfId="7592"/>
    <cellStyle name="20% - akcent 4 3 8 2 4 4 2" xfId="7593"/>
    <cellStyle name="20% - akcent 4 3 8 2 4 5" xfId="7594"/>
    <cellStyle name="20% - akcent 4 3 8 2 5" xfId="7595"/>
    <cellStyle name="20% - akcent 4 3 8 2 5 2" xfId="7596"/>
    <cellStyle name="20% - akcent 4 3 8 2 5 2 2" xfId="7597"/>
    <cellStyle name="20% - akcent 4 3 8 2 5 3" xfId="7598"/>
    <cellStyle name="20% - akcent 4 3 8 2 5 3 2" xfId="7599"/>
    <cellStyle name="20% - akcent 4 3 8 2 5 4" xfId="7600"/>
    <cellStyle name="20% - akcent 4 3 8 2 6" xfId="7601"/>
    <cellStyle name="20% - akcent 4 3 8 2 6 2" xfId="7602"/>
    <cellStyle name="20% - akcent 4 3 8 2 7" xfId="7603"/>
    <cellStyle name="20% - akcent 4 3 8 2 7 2" xfId="7604"/>
    <cellStyle name="20% - akcent 4 3 8 2 8" xfId="7605"/>
    <cellStyle name="20% - akcent 4 3 8 3" xfId="7606"/>
    <cellStyle name="20% - akcent 4 3 8 3 2" xfId="7607"/>
    <cellStyle name="20% - akcent 4 3 8 3 2 2" xfId="7608"/>
    <cellStyle name="20% - akcent 4 3 8 3 2 2 2" xfId="7609"/>
    <cellStyle name="20% - akcent 4 3 8 3 2 3" xfId="7610"/>
    <cellStyle name="20% - akcent 4 3 8 3 2 3 2" xfId="7611"/>
    <cellStyle name="20% - akcent 4 3 8 3 2 4" xfId="7612"/>
    <cellStyle name="20% - akcent 4 3 8 3 3" xfId="7613"/>
    <cellStyle name="20% - akcent 4 3 8 3 3 2" xfId="7614"/>
    <cellStyle name="20% - akcent 4 3 8 3 4" xfId="7615"/>
    <cellStyle name="20% - akcent 4 3 8 3 4 2" xfId="7616"/>
    <cellStyle name="20% - akcent 4 3 8 3 5" xfId="7617"/>
    <cellStyle name="20% - akcent 4 3 8 4" xfId="7618"/>
    <cellStyle name="20% - akcent 4 3 8 4 2" xfId="7619"/>
    <cellStyle name="20% - akcent 4 3 8 4 2 2" xfId="7620"/>
    <cellStyle name="20% - akcent 4 3 8 4 2 2 2" xfId="7621"/>
    <cellStyle name="20% - akcent 4 3 8 4 2 3" xfId="7622"/>
    <cellStyle name="20% - akcent 4 3 8 4 2 3 2" xfId="7623"/>
    <cellStyle name="20% - akcent 4 3 8 4 2 4" xfId="7624"/>
    <cellStyle name="20% - akcent 4 3 8 4 3" xfId="7625"/>
    <cellStyle name="20% - akcent 4 3 8 4 3 2" xfId="7626"/>
    <cellStyle name="20% - akcent 4 3 8 4 4" xfId="7627"/>
    <cellStyle name="20% - akcent 4 3 8 4 4 2" xfId="7628"/>
    <cellStyle name="20% - akcent 4 3 8 4 5" xfId="7629"/>
    <cellStyle name="20% - akcent 4 3 8 5" xfId="7630"/>
    <cellStyle name="20% - akcent 4 3 8 5 2" xfId="7631"/>
    <cellStyle name="20% - akcent 4 3 8 5 2 2" xfId="7632"/>
    <cellStyle name="20% - akcent 4 3 8 5 2 2 2" xfId="7633"/>
    <cellStyle name="20% - akcent 4 3 8 5 2 3" xfId="7634"/>
    <cellStyle name="20% - akcent 4 3 8 5 2 3 2" xfId="7635"/>
    <cellStyle name="20% - akcent 4 3 8 5 2 4" xfId="7636"/>
    <cellStyle name="20% - akcent 4 3 8 5 3" xfId="7637"/>
    <cellStyle name="20% - akcent 4 3 8 5 3 2" xfId="7638"/>
    <cellStyle name="20% - akcent 4 3 8 5 4" xfId="7639"/>
    <cellStyle name="20% - akcent 4 3 8 5 4 2" xfId="7640"/>
    <cellStyle name="20% - akcent 4 3 8 5 5" xfId="7641"/>
    <cellStyle name="20% - akcent 4 3 8 6" xfId="7642"/>
    <cellStyle name="20% - akcent 4 3 8 6 2" xfId="7643"/>
    <cellStyle name="20% - akcent 4 3 8 6 2 2" xfId="7644"/>
    <cellStyle name="20% - akcent 4 3 8 6 3" xfId="7645"/>
    <cellStyle name="20% - akcent 4 3 8 6 3 2" xfId="7646"/>
    <cellStyle name="20% - akcent 4 3 8 6 4" xfId="7647"/>
    <cellStyle name="20% - akcent 4 3 8 7" xfId="7648"/>
    <cellStyle name="20% - akcent 4 3 8 7 2" xfId="7649"/>
    <cellStyle name="20% - akcent 4 3 8 8" xfId="7650"/>
    <cellStyle name="20% - akcent 4 3 8 8 2" xfId="7651"/>
    <cellStyle name="20% - akcent 4 3 8 9" xfId="7652"/>
    <cellStyle name="20% - akcent 4 3 9" xfId="7653"/>
    <cellStyle name="20% - akcent 4 3 9 2" xfId="7654"/>
    <cellStyle name="20% - akcent 4 3 9 2 2" xfId="7655"/>
    <cellStyle name="20% - akcent 4 3 9 2 2 2" xfId="7656"/>
    <cellStyle name="20% - akcent 4 3 9 2 2 2 2" xfId="7657"/>
    <cellStyle name="20% - akcent 4 3 9 2 2 3" xfId="7658"/>
    <cellStyle name="20% - akcent 4 3 9 2 2 3 2" xfId="7659"/>
    <cellStyle name="20% - akcent 4 3 9 2 2 4" xfId="7660"/>
    <cellStyle name="20% - akcent 4 3 9 2 3" xfId="7661"/>
    <cellStyle name="20% - akcent 4 3 9 2 3 2" xfId="7662"/>
    <cellStyle name="20% - akcent 4 3 9 2 4" xfId="7663"/>
    <cellStyle name="20% - akcent 4 3 9 2 4 2" xfId="7664"/>
    <cellStyle name="20% - akcent 4 3 9 2 5" xfId="7665"/>
    <cellStyle name="20% - akcent 4 3 9 3" xfId="7666"/>
    <cellStyle name="20% - akcent 4 3 9 3 2" xfId="7667"/>
    <cellStyle name="20% - akcent 4 3 9 3 2 2" xfId="7668"/>
    <cellStyle name="20% - akcent 4 3 9 3 2 2 2" xfId="7669"/>
    <cellStyle name="20% - akcent 4 3 9 3 2 3" xfId="7670"/>
    <cellStyle name="20% - akcent 4 3 9 3 2 3 2" xfId="7671"/>
    <cellStyle name="20% - akcent 4 3 9 3 2 4" xfId="7672"/>
    <cellStyle name="20% - akcent 4 3 9 3 3" xfId="7673"/>
    <cellStyle name="20% - akcent 4 3 9 3 3 2" xfId="7674"/>
    <cellStyle name="20% - akcent 4 3 9 3 4" xfId="7675"/>
    <cellStyle name="20% - akcent 4 3 9 3 4 2" xfId="7676"/>
    <cellStyle name="20% - akcent 4 3 9 3 5" xfId="7677"/>
    <cellStyle name="20% - akcent 4 3 9 4" xfId="7678"/>
    <cellStyle name="20% - akcent 4 3 9 4 2" xfId="7679"/>
    <cellStyle name="20% - akcent 4 3 9 4 2 2" xfId="7680"/>
    <cellStyle name="20% - akcent 4 3 9 4 2 2 2" xfId="7681"/>
    <cellStyle name="20% - akcent 4 3 9 4 2 3" xfId="7682"/>
    <cellStyle name="20% - akcent 4 3 9 4 2 3 2" xfId="7683"/>
    <cellStyle name="20% - akcent 4 3 9 4 2 4" xfId="7684"/>
    <cellStyle name="20% - akcent 4 3 9 4 3" xfId="7685"/>
    <cellStyle name="20% - akcent 4 3 9 4 3 2" xfId="7686"/>
    <cellStyle name="20% - akcent 4 3 9 4 4" xfId="7687"/>
    <cellStyle name="20% - akcent 4 3 9 4 4 2" xfId="7688"/>
    <cellStyle name="20% - akcent 4 3 9 4 5" xfId="7689"/>
    <cellStyle name="20% - akcent 4 3 9 5" xfId="7690"/>
    <cellStyle name="20% - akcent 4 3 9 5 2" xfId="7691"/>
    <cellStyle name="20% - akcent 4 3 9 5 2 2" xfId="7692"/>
    <cellStyle name="20% - akcent 4 3 9 5 3" xfId="7693"/>
    <cellStyle name="20% - akcent 4 3 9 5 3 2" xfId="7694"/>
    <cellStyle name="20% - akcent 4 3 9 5 4" xfId="7695"/>
    <cellStyle name="20% - akcent 4 3 9 6" xfId="7696"/>
    <cellStyle name="20% - akcent 4 3 9 6 2" xfId="7697"/>
    <cellStyle name="20% - akcent 4 3 9 7" xfId="7698"/>
    <cellStyle name="20% - akcent 4 3 9 7 2" xfId="7699"/>
    <cellStyle name="20% - akcent 4 3 9 8" xfId="7700"/>
    <cellStyle name="20% - akcent 4 4" xfId="7701"/>
    <cellStyle name="20% - akcent 4 5" xfId="7702"/>
    <cellStyle name="20% - akcent 4 6" xfId="7703"/>
    <cellStyle name="20% - akcent 5 2" xfId="7704"/>
    <cellStyle name="20% - akcent 5 2 2" xfId="7705"/>
    <cellStyle name="20% - akcent 5 2 3" xfId="7706"/>
    <cellStyle name="20% - akcent 5 3" xfId="7707"/>
    <cellStyle name="20% - akcent 5 3 10" xfId="7708"/>
    <cellStyle name="20% - akcent 5 3 10 2" xfId="7709"/>
    <cellStyle name="20% - akcent 5 3 10 2 2" xfId="7710"/>
    <cellStyle name="20% - akcent 5 3 10 2 2 2" xfId="7711"/>
    <cellStyle name="20% - akcent 5 3 10 2 2 2 2" xfId="7712"/>
    <cellStyle name="20% - akcent 5 3 10 2 2 3" xfId="7713"/>
    <cellStyle name="20% - akcent 5 3 10 2 2 3 2" xfId="7714"/>
    <cellStyle name="20% - akcent 5 3 10 2 2 4" xfId="7715"/>
    <cellStyle name="20% - akcent 5 3 10 2 3" xfId="7716"/>
    <cellStyle name="20% - akcent 5 3 10 2 3 2" xfId="7717"/>
    <cellStyle name="20% - akcent 5 3 10 2 4" xfId="7718"/>
    <cellStyle name="20% - akcent 5 3 10 2 4 2" xfId="7719"/>
    <cellStyle name="20% - akcent 5 3 10 2 5" xfId="7720"/>
    <cellStyle name="20% - akcent 5 3 10 3" xfId="7721"/>
    <cellStyle name="20% - akcent 5 3 10 3 2" xfId="7722"/>
    <cellStyle name="20% - akcent 5 3 10 3 2 2" xfId="7723"/>
    <cellStyle name="20% - akcent 5 3 10 3 3" xfId="7724"/>
    <cellStyle name="20% - akcent 5 3 10 3 3 2" xfId="7725"/>
    <cellStyle name="20% - akcent 5 3 10 3 4" xfId="7726"/>
    <cellStyle name="20% - akcent 5 3 10 4" xfId="7727"/>
    <cellStyle name="20% - akcent 5 3 10 4 2" xfId="7728"/>
    <cellStyle name="20% - akcent 5 3 10 5" xfId="7729"/>
    <cellStyle name="20% - akcent 5 3 10 5 2" xfId="7730"/>
    <cellStyle name="20% - akcent 5 3 10 6" xfId="7731"/>
    <cellStyle name="20% - akcent 5 3 11" xfId="7732"/>
    <cellStyle name="20% - akcent 5 3 11 2" xfId="7733"/>
    <cellStyle name="20% - akcent 5 3 11 2 2" xfId="7734"/>
    <cellStyle name="20% - akcent 5 3 11 2 2 2" xfId="7735"/>
    <cellStyle name="20% - akcent 5 3 11 2 3" xfId="7736"/>
    <cellStyle name="20% - akcent 5 3 11 2 3 2" xfId="7737"/>
    <cellStyle name="20% - akcent 5 3 11 2 4" xfId="7738"/>
    <cellStyle name="20% - akcent 5 3 11 3" xfId="7739"/>
    <cellStyle name="20% - akcent 5 3 11 3 2" xfId="7740"/>
    <cellStyle name="20% - akcent 5 3 11 4" xfId="7741"/>
    <cellStyle name="20% - akcent 5 3 11 4 2" xfId="7742"/>
    <cellStyle name="20% - akcent 5 3 11 5" xfId="7743"/>
    <cellStyle name="20% - akcent 5 3 12" xfId="7744"/>
    <cellStyle name="20% - akcent 5 3 12 2" xfId="7745"/>
    <cellStyle name="20% - akcent 5 3 12 2 2" xfId="7746"/>
    <cellStyle name="20% - akcent 5 3 12 2 2 2" xfId="7747"/>
    <cellStyle name="20% - akcent 5 3 12 2 3" xfId="7748"/>
    <cellStyle name="20% - akcent 5 3 12 2 3 2" xfId="7749"/>
    <cellStyle name="20% - akcent 5 3 12 2 4" xfId="7750"/>
    <cellStyle name="20% - akcent 5 3 12 3" xfId="7751"/>
    <cellStyle name="20% - akcent 5 3 12 3 2" xfId="7752"/>
    <cellStyle name="20% - akcent 5 3 12 4" xfId="7753"/>
    <cellStyle name="20% - akcent 5 3 12 4 2" xfId="7754"/>
    <cellStyle name="20% - akcent 5 3 12 5" xfId="7755"/>
    <cellStyle name="20% - akcent 5 3 13" xfId="7756"/>
    <cellStyle name="20% - akcent 5 3 13 2" xfId="7757"/>
    <cellStyle name="20% - akcent 5 3 13 2 2" xfId="7758"/>
    <cellStyle name="20% - akcent 5 3 13 2 2 2" xfId="7759"/>
    <cellStyle name="20% - akcent 5 3 13 2 3" xfId="7760"/>
    <cellStyle name="20% - akcent 5 3 13 2 3 2" xfId="7761"/>
    <cellStyle name="20% - akcent 5 3 13 2 4" xfId="7762"/>
    <cellStyle name="20% - akcent 5 3 13 3" xfId="7763"/>
    <cellStyle name="20% - akcent 5 3 13 3 2" xfId="7764"/>
    <cellStyle name="20% - akcent 5 3 13 4" xfId="7765"/>
    <cellStyle name="20% - akcent 5 3 13 4 2" xfId="7766"/>
    <cellStyle name="20% - akcent 5 3 13 5" xfId="7767"/>
    <cellStyle name="20% - akcent 5 3 14" xfId="7768"/>
    <cellStyle name="20% - akcent 5 3 14 2" xfId="7769"/>
    <cellStyle name="20% - akcent 5 3 14 2 2" xfId="7770"/>
    <cellStyle name="20% - akcent 5 3 14 3" xfId="7771"/>
    <cellStyle name="20% - akcent 5 3 14 3 2" xfId="7772"/>
    <cellStyle name="20% - akcent 5 3 14 4" xfId="7773"/>
    <cellStyle name="20% - akcent 5 3 15" xfId="7774"/>
    <cellStyle name="20% - akcent 5 3 15 2" xfId="7775"/>
    <cellStyle name="20% - akcent 5 3 15 2 2" xfId="7776"/>
    <cellStyle name="20% - akcent 5 3 15 3" xfId="7777"/>
    <cellStyle name="20% - akcent 5 3 15 3 2" xfId="7778"/>
    <cellStyle name="20% - akcent 5 3 15 4" xfId="7779"/>
    <cellStyle name="20% - akcent 5 3 16" xfId="7780"/>
    <cellStyle name="20% - akcent 5 3 16 2" xfId="7781"/>
    <cellStyle name="20% - akcent 5 3 17" xfId="7782"/>
    <cellStyle name="20% - akcent 5 3 17 2" xfId="7783"/>
    <cellStyle name="20% - akcent 5 3 18" xfId="7784"/>
    <cellStyle name="20% - akcent 5 3 18 2" xfId="7785"/>
    <cellStyle name="20% - akcent 5 3 19" xfId="7786"/>
    <cellStyle name="20% - akcent 5 3 2" xfId="7787"/>
    <cellStyle name="20% - akcent 5 3 2 10" xfId="7788"/>
    <cellStyle name="20% - akcent 5 3 2 10 2" xfId="7789"/>
    <cellStyle name="20% - akcent 5 3 2 10 2 2" xfId="7790"/>
    <cellStyle name="20% - akcent 5 3 2 10 2 2 2" xfId="7791"/>
    <cellStyle name="20% - akcent 5 3 2 10 2 3" xfId="7792"/>
    <cellStyle name="20% - akcent 5 3 2 10 2 3 2" xfId="7793"/>
    <cellStyle name="20% - akcent 5 3 2 10 2 4" xfId="7794"/>
    <cellStyle name="20% - akcent 5 3 2 10 3" xfId="7795"/>
    <cellStyle name="20% - akcent 5 3 2 10 3 2" xfId="7796"/>
    <cellStyle name="20% - akcent 5 3 2 10 4" xfId="7797"/>
    <cellStyle name="20% - akcent 5 3 2 10 4 2" xfId="7798"/>
    <cellStyle name="20% - akcent 5 3 2 10 5" xfId="7799"/>
    <cellStyle name="20% - akcent 5 3 2 11" xfId="7800"/>
    <cellStyle name="20% - akcent 5 3 2 11 2" xfId="7801"/>
    <cellStyle name="20% - akcent 5 3 2 11 2 2" xfId="7802"/>
    <cellStyle name="20% - akcent 5 3 2 11 3" xfId="7803"/>
    <cellStyle name="20% - akcent 5 3 2 11 3 2" xfId="7804"/>
    <cellStyle name="20% - akcent 5 3 2 11 4" xfId="7805"/>
    <cellStyle name="20% - akcent 5 3 2 12" xfId="7806"/>
    <cellStyle name="20% - akcent 5 3 2 12 2" xfId="7807"/>
    <cellStyle name="20% - akcent 5 3 2 12 2 2" xfId="7808"/>
    <cellStyle name="20% - akcent 5 3 2 12 3" xfId="7809"/>
    <cellStyle name="20% - akcent 5 3 2 12 3 2" xfId="7810"/>
    <cellStyle name="20% - akcent 5 3 2 12 4" xfId="7811"/>
    <cellStyle name="20% - akcent 5 3 2 13" xfId="7812"/>
    <cellStyle name="20% - akcent 5 3 2 13 2" xfId="7813"/>
    <cellStyle name="20% - akcent 5 3 2 14" xfId="7814"/>
    <cellStyle name="20% - akcent 5 3 2 14 2" xfId="7815"/>
    <cellStyle name="20% - akcent 5 3 2 15" xfId="7816"/>
    <cellStyle name="20% - akcent 5 3 2 15 2" xfId="7817"/>
    <cellStyle name="20% - akcent 5 3 2 16" xfId="7818"/>
    <cellStyle name="20% - akcent 5 3 2 2" xfId="7819"/>
    <cellStyle name="20% - akcent 5 3 2 2 10" xfId="7820"/>
    <cellStyle name="20% - akcent 5 3 2 2 10 2" xfId="7821"/>
    <cellStyle name="20% - akcent 5 3 2 2 11" xfId="7822"/>
    <cellStyle name="20% - akcent 5 3 2 2 11 2" xfId="7823"/>
    <cellStyle name="20% - akcent 5 3 2 2 12" xfId="7824"/>
    <cellStyle name="20% - akcent 5 3 2 2 2" xfId="7825"/>
    <cellStyle name="20% - akcent 5 3 2 2 2 10" xfId="7826"/>
    <cellStyle name="20% - akcent 5 3 2 2 2 2" xfId="7827"/>
    <cellStyle name="20% - akcent 5 3 2 2 2 2 2" xfId="7828"/>
    <cellStyle name="20% - akcent 5 3 2 2 2 2 2 2" xfId="7829"/>
    <cellStyle name="20% - akcent 5 3 2 2 2 2 2 2 2" xfId="7830"/>
    <cellStyle name="20% - akcent 5 3 2 2 2 2 2 2 2 2" xfId="7831"/>
    <cellStyle name="20% - akcent 5 3 2 2 2 2 2 2 3" xfId="7832"/>
    <cellStyle name="20% - akcent 5 3 2 2 2 2 2 2 3 2" xfId="7833"/>
    <cellStyle name="20% - akcent 5 3 2 2 2 2 2 2 4" xfId="7834"/>
    <cellStyle name="20% - akcent 5 3 2 2 2 2 2 3" xfId="7835"/>
    <cellStyle name="20% - akcent 5 3 2 2 2 2 2 3 2" xfId="7836"/>
    <cellStyle name="20% - akcent 5 3 2 2 2 2 2 4" xfId="7837"/>
    <cellStyle name="20% - akcent 5 3 2 2 2 2 2 4 2" xfId="7838"/>
    <cellStyle name="20% - akcent 5 3 2 2 2 2 2 5" xfId="7839"/>
    <cellStyle name="20% - akcent 5 3 2 2 2 2 3" xfId="7840"/>
    <cellStyle name="20% - akcent 5 3 2 2 2 2 3 2" xfId="7841"/>
    <cellStyle name="20% - akcent 5 3 2 2 2 2 3 2 2" xfId="7842"/>
    <cellStyle name="20% - akcent 5 3 2 2 2 2 3 2 2 2" xfId="7843"/>
    <cellStyle name="20% - akcent 5 3 2 2 2 2 3 2 3" xfId="7844"/>
    <cellStyle name="20% - akcent 5 3 2 2 2 2 3 2 3 2" xfId="7845"/>
    <cellStyle name="20% - akcent 5 3 2 2 2 2 3 2 4" xfId="7846"/>
    <cellStyle name="20% - akcent 5 3 2 2 2 2 3 3" xfId="7847"/>
    <cellStyle name="20% - akcent 5 3 2 2 2 2 3 3 2" xfId="7848"/>
    <cellStyle name="20% - akcent 5 3 2 2 2 2 3 4" xfId="7849"/>
    <cellStyle name="20% - akcent 5 3 2 2 2 2 3 4 2" xfId="7850"/>
    <cellStyle name="20% - akcent 5 3 2 2 2 2 3 5" xfId="7851"/>
    <cellStyle name="20% - akcent 5 3 2 2 2 2 4" xfId="7852"/>
    <cellStyle name="20% - akcent 5 3 2 2 2 2 4 2" xfId="7853"/>
    <cellStyle name="20% - akcent 5 3 2 2 2 2 4 2 2" xfId="7854"/>
    <cellStyle name="20% - akcent 5 3 2 2 2 2 4 2 2 2" xfId="7855"/>
    <cellStyle name="20% - akcent 5 3 2 2 2 2 4 2 3" xfId="7856"/>
    <cellStyle name="20% - akcent 5 3 2 2 2 2 4 2 3 2" xfId="7857"/>
    <cellStyle name="20% - akcent 5 3 2 2 2 2 4 2 4" xfId="7858"/>
    <cellStyle name="20% - akcent 5 3 2 2 2 2 4 3" xfId="7859"/>
    <cellStyle name="20% - akcent 5 3 2 2 2 2 4 3 2" xfId="7860"/>
    <cellStyle name="20% - akcent 5 3 2 2 2 2 4 4" xfId="7861"/>
    <cellStyle name="20% - akcent 5 3 2 2 2 2 4 4 2" xfId="7862"/>
    <cellStyle name="20% - akcent 5 3 2 2 2 2 4 5" xfId="7863"/>
    <cellStyle name="20% - akcent 5 3 2 2 2 2 5" xfId="7864"/>
    <cellStyle name="20% - akcent 5 3 2 2 2 2 5 2" xfId="7865"/>
    <cellStyle name="20% - akcent 5 3 2 2 2 2 5 2 2" xfId="7866"/>
    <cellStyle name="20% - akcent 5 3 2 2 2 2 5 3" xfId="7867"/>
    <cellStyle name="20% - akcent 5 3 2 2 2 2 5 3 2" xfId="7868"/>
    <cellStyle name="20% - akcent 5 3 2 2 2 2 5 4" xfId="7869"/>
    <cellStyle name="20% - akcent 5 3 2 2 2 2 6" xfId="7870"/>
    <cellStyle name="20% - akcent 5 3 2 2 2 2 6 2" xfId="7871"/>
    <cellStyle name="20% - akcent 5 3 2 2 2 2 7" xfId="7872"/>
    <cellStyle name="20% - akcent 5 3 2 2 2 2 7 2" xfId="7873"/>
    <cellStyle name="20% - akcent 5 3 2 2 2 2 8" xfId="7874"/>
    <cellStyle name="20% - akcent 5 3 2 2 2 3" xfId="7875"/>
    <cellStyle name="20% - akcent 5 3 2 2 2 3 2" xfId="7876"/>
    <cellStyle name="20% - akcent 5 3 2 2 2 3 2 2" xfId="7877"/>
    <cellStyle name="20% - akcent 5 3 2 2 2 3 2 2 2" xfId="7878"/>
    <cellStyle name="20% - akcent 5 3 2 2 2 3 2 2 2 2" xfId="7879"/>
    <cellStyle name="20% - akcent 5 3 2 2 2 3 2 2 3" xfId="7880"/>
    <cellStyle name="20% - akcent 5 3 2 2 2 3 2 2 3 2" xfId="7881"/>
    <cellStyle name="20% - akcent 5 3 2 2 2 3 2 2 4" xfId="7882"/>
    <cellStyle name="20% - akcent 5 3 2 2 2 3 2 3" xfId="7883"/>
    <cellStyle name="20% - akcent 5 3 2 2 2 3 2 3 2" xfId="7884"/>
    <cellStyle name="20% - akcent 5 3 2 2 2 3 2 4" xfId="7885"/>
    <cellStyle name="20% - akcent 5 3 2 2 2 3 2 4 2" xfId="7886"/>
    <cellStyle name="20% - akcent 5 3 2 2 2 3 2 5" xfId="7887"/>
    <cellStyle name="20% - akcent 5 3 2 2 2 3 3" xfId="7888"/>
    <cellStyle name="20% - akcent 5 3 2 2 2 3 3 2" xfId="7889"/>
    <cellStyle name="20% - akcent 5 3 2 2 2 3 3 2 2" xfId="7890"/>
    <cellStyle name="20% - akcent 5 3 2 2 2 3 3 2 2 2" xfId="7891"/>
    <cellStyle name="20% - akcent 5 3 2 2 2 3 3 2 3" xfId="7892"/>
    <cellStyle name="20% - akcent 5 3 2 2 2 3 3 2 3 2" xfId="7893"/>
    <cellStyle name="20% - akcent 5 3 2 2 2 3 3 2 4" xfId="7894"/>
    <cellStyle name="20% - akcent 5 3 2 2 2 3 3 3" xfId="7895"/>
    <cellStyle name="20% - akcent 5 3 2 2 2 3 3 3 2" xfId="7896"/>
    <cellStyle name="20% - akcent 5 3 2 2 2 3 3 4" xfId="7897"/>
    <cellStyle name="20% - akcent 5 3 2 2 2 3 3 4 2" xfId="7898"/>
    <cellStyle name="20% - akcent 5 3 2 2 2 3 3 5" xfId="7899"/>
    <cellStyle name="20% - akcent 5 3 2 2 2 3 4" xfId="7900"/>
    <cellStyle name="20% - akcent 5 3 2 2 2 3 4 2" xfId="7901"/>
    <cellStyle name="20% - akcent 5 3 2 2 2 3 4 2 2" xfId="7902"/>
    <cellStyle name="20% - akcent 5 3 2 2 2 3 4 2 2 2" xfId="7903"/>
    <cellStyle name="20% - akcent 5 3 2 2 2 3 4 2 3" xfId="7904"/>
    <cellStyle name="20% - akcent 5 3 2 2 2 3 4 2 3 2" xfId="7905"/>
    <cellStyle name="20% - akcent 5 3 2 2 2 3 4 2 4" xfId="7906"/>
    <cellStyle name="20% - akcent 5 3 2 2 2 3 4 3" xfId="7907"/>
    <cellStyle name="20% - akcent 5 3 2 2 2 3 4 3 2" xfId="7908"/>
    <cellStyle name="20% - akcent 5 3 2 2 2 3 4 4" xfId="7909"/>
    <cellStyle name="20% - akcent 5 3 2 2 2 3 4 4 2" xfId="7910"/>
    <cellStyle name="20% - akcent 5 3 2 2 2 3 4 5" xfId="7911"/>
    <cellStyle name="20% - akcent 5 3 2 2 2 3 5" xfId="7912"/>
    <cellStyle name="20% - akcent 5 3 2 2 2 3 5 2" xfId="7913"/>
    <cellStyle name="20% - akcent 5 3 2 2 2 3 5 2 2" xfId="7914"/>
    <cellStyle name="20% - akcent 5 3 2 2 2 3 5 3" xfId="7915"/>
    <cellStyle name="20% - akcent 5 3 2 2 2 3 5 3 2" xfId="7916"/>
    <cellStyle name="20% - akcent 5 3 2 2 2 3 5 4" xfId="7917"/>
    <cellStyle name="20% - akcent 5 3 2 2 2 3 6" xfId="7918"/>
    <cellStyle name="20% - akcent 5 3 2 2 2 3 6 2" xfId="7919"/>
    <cellStyle name="20% - akcent 5 3 2 2 2 3 7" xfId="7920"/>
    <cellStyle name="20% - akcent 5 3 2 2 2 3 7 2" xfId="7921"/>
    <cellStyle name="20% - akcent 5 3 2 2 2 3 8" xfId="7922"/>
    <cellStyle name="20% - akcent 5 3 2 2 2 4" xfId="7923"/>
    <cellStyle name="20% - akcent 5 3 2 2 2 4 2" xfId="7924"/>
    <cellStyle name="20% - akcent 5 3 2 2 2 4 2 2" xfId="7925"/>
    <cellStyle name="20% - akcent 5 3 2 2 2 4 2 2 2" xfId="7926"/>
    <cellStyle name="20% - akcent 5 3 2 2 2 4 2 3" xfId="7927"/>
    <cellStyle name="20% - akcent 5 3 2 2 2 4 2 3 2" xfId="7928"/>
    <cellStyle name="20% - akcent 5 3 2 2 2 4 2 4" xfId="7929"/>
    <cellStyle name="20% - akcent 5 3 2 2 2 4 3" xfId="7930"/>
    <cellStyle name="20% - akcent 5 3 2 2 2 4 3 2" xfId="7931"/>
    <cellStyle name="20% - akcent 5 3 2 2 2 4 4" xfId="7932"/>
    <cellStyle name="20% - akcent 5 3 2 2 2 4 4 2" xfId="7933"/>
    <cellStyle name="20% - akcent 5 3 2 2 2 4 5" xfId="7934"/>
    <cellStyle name="20% - akcent 5 3 2 2 2 5" xfId="7935"/>
    <cellStyle name="20% - akcent 5 3 2 2 2 5 2" xfId="7936"/>
    <cellStyle name="20% - akcent 5 3 2 2 2 5 2 2" xfId="7937"/>
    <cellStyle name="20% - akcent 5 3 2 2 2 5 2 2 2" xfId="7938"/>
    <cellStyle name="20% - akcent 5 3 2 2 2 5 2 3" xfId="7939"/>
    <cellStyle name="20% - akcent 5 3 2 2 2 5 2 3 2" xfId="7940"/>
    <cellStyle name="20% - akcent 5 3 2 2 2 5 2 4" xfId="7941"/>
    <cellStyle name="20% - akcent 5 3 2 2 2 5 3" xfId="7942"/>
    <cellStyle name="20% - akcent 5 3 2 2 2 5 3 2" xfId="7943"/>
    <cellStyle name="20% - akcent 5 3 2 2 2 5 4" xfId="7944"/>
    <cellStyle name="20% - akcent 5 3 2 2 2 5 4 2" xfId="7945"/>
    <cellStyle name="20% - akcent 5 3 2 2 2 5 5" xfId="7946"/>
    <cellStyle name="20% - akcent 5 3 2 2 2 6" xfId="7947"/>
    <cellStyle name="20% - akcent 5 3 2 2 2 6 2" xfId="7948"/>
    <cellStyle name="20% - akcent 5 3 2 2 2 6 2 2" xfId="7949"/>
    <cellStyle name="20% - akcent 5 3 2 2 2 6 2 2 2" xfId="7950"/>
    <cellStyle name="20% - akcent 5 3 2 2 2 6 2 3" xfId="7951"/>
    <cellStyle name="20% - akcent 5 3 2 2 2 6 2 3 2" xfId="7952"/>
    <cellStyle name="20% - akcent 5 3 2 2 2 6 2 4" xfId="7953"/>
    <cellStyle name="20% - akcent 5 3 2 2 2 6 3" xfId="7954"/>
    <cellStyle name="20% - akcent 5 3 2 2 2 6 3 2" xfId="7955"/>
    <cellStyle name="20% - akcent 5 3 2 2 2 6 4" xfId="7956"/>
    <cellStyle name="20% - akcent 5 3 2 2 2 6 4 2" xfId="7957"/>
    <cellStyle name="20% - akcent 5 3 2 2 2 6 5" xfId="7958"/>
    <cellStyle name="20% - akcent 5 3 2 2 2 7" xfId="7959"/>
    <cellStyle name="20% - akcent 5 3 2 2 2 7 2" xfId="7960"/>
    <cellStyle name="20% - akcent 5 3 2 2 2 7 2 2" xfId="7961"/>
    <cellStyle name="20% - akcent 5 3 2 2 2 7 3" xfId="7962"/>
    <cellStyle name="20% - akcent 5 3 2 2 2 7 3 2" xfId="7963"/>
    <cellStyle name="20% - akcent 5 3 2 2 2 7 4" xfId="7964"/>
    <cellStyle name="20% - akcent 5 3 2 2 2 8" xfId="7965"/>
    <cellStyle name="20% - akcent 5 3 2 2 2 8 2" xfId="7966"/>
    <cellStyle name="20% - akcent 5 3 2 2 2 9" xfId="7967"/>
    <cellStyle name="20% - akcent 5 3 2 2 2 9 2" xfId="7968"/>
    <cellStyle name="20% - akcent 5 3 2 2 3" xfId="7969"/>
    <cellStyle name="20% - akcent 5 3 2 2 3 2" xfId="7970"/>
    <cellStyle name="20% - akcent 5 3 2 2 3 2 2" xfId="7971"/>
    <cellStyle name="20% - akcent 5 3 2 2 3 2 2 2" xfId="7972"/>
    <cellStyle name="20% - akcent 5 3 2 2 3 2 2 2 2" xfId="7973"/>
    <cellStyle name="20% - akcent 5 3 2 2 3 2 2 3" xfId="7974"/>
    <cellStyle name="20% - akcent 5 3 2 2 3 2 2 3 2" xfId="7975"/>
    <cellStyle name="20% - akcent 5 3 2 2 3 2 2 4" xfId="7976"/>
    <cellStyle name="20% - akcent 5 3 2 2 3 2 3" xfId="7977"/>
    <cellStyle name="20% - akcent 5 3 2 2 3 2 3 2" xfId="7978"/>
    <cellStyle name="20% - akcent 5 3 2 2 3 2 4" xfId="7979"/>
    <cellStyle name="20% - akcent 5 3 2 2 3 2 4 2" xfId="7980"/>
    <cellStyle name="20% - akcent 5 3 2 2 3 2 5" xfId="7981"/>
    <cellStyle name="20% - akcent 5 3 2 2 3 3" xfId="7982"/>
    <cellStyle name="20% - akcent 5 3 2 2 3 3 2" xfId="7983"/>
    <cellStyle name="20% - akcent 5 3 2 2 3 3 2 2" xfId="7984"/>
    <cellStyle name="20% - akcent 5 3 2 2 3 3 2 2 2" xfId="7985"/>
    <cellStyle name="20% - akcent 5 3 2 2 3 3 2 3" xfId="7986"/>
    <cellStyle name="20% - akcent 5 3 2 2 3 3 2 3 2" xfId="7987"/>
    <cellStyle name="20% - akcent 5 3 2 2 3 3 2 4" xfId="7988"/>
    <cellStyle name="20% - akcent 5 3 2 2 3 3 3" xfId="7989"/>
    <cellStyle name="20% - akcent 5 3 2 2 3 3 3 2" xfId="7990"/>
    <cellStyle name="20% - akcent 5 3 2 2 3 3 4" xfId="7991"/>
    <cellStyle name="20% - akcent 5 3 2 2 3 3 4 2" xfId="7992"/>
    <cellStyle name="20% - akcent 5 3 2 2 3 3 5" xfId="7993"/>
    <cellStyle name="20% - akcent 5 3 2 2 3 4" xfId="7994"/>
    <cellStyle name="20% - akcent 5 3 2 2 3 4 2" xfId="7995"/>
    <cellStyle name="20% - akcent 5 3 2 2 3 4 2 2" xfId="7996"/>
    <cellStyle name="20% - akcent 5 3 2 2 3 4 2 2 2" xfId="7997"/>
    <cellStyle name="20% - akcent 5 3 2 2 3 4 2 3" xfId="7998"/>
    <cellStyle name="20% - akcent 5 3 2 2 3 4 2 3 2" xfId="7999"/>
    <cellStyle name="20% - akcent 5 3 2 2 3 4 2 4" xfId="8000"/>
    <cellStyle name="20% - akcent 5 3 2 2 3 4 3" xfId="8001"/>
    <cellStyle name="20% - akcent 5 3 2 2 3 4 3 2" xfId="8002"/>
    <cellStyle name="20% - akcent 5 3 2 2 3 4 4" xfId="8003"/>
    <cellStyle name="20% - akcent 5 3 2 2 3 4 4 2" xfId="8004"/>
    <cellStyle name="20% - akcent 5 3 2 2 3 4 5" xfId="8005"/>
    <cellStyle name="20% - akcent 5 3 2 2 3 5" xfId="8006"/>
    <cellStyle name="20% - akcent 5 3 2 2 3 5 2" xfId="8007"/>
    <cellStyle name="20% - akcent 5 3 2 2 3 5 2 2" xfId="8008"/>
    <cellStyle name="20% - akcent 5 3 2 2 3 5 3" xfId="8009"/>
    <cellStyle name="20% - akcent 5 3 2 2 3 5 3 2" xfId="8010"/>
    <cellStyle name="20% - akcent 5 3 2 2 3 5 4" xfId="8011"/>
    <cellStyle name="20% - akcent 5 3 2 2 3 6" xfId="8012"/>
    <cellStyle name="20% - akcent 5 3 2 2 3 6 2" xfId="8013"/>
    <cellStyle name="20% - akcent 5 3 2 2 3 7" xfId="8014"/>
    <cellStyle name="20% - akcent 5 3 2 2 3 7 2" xfId="8015"/>
    <cellStyle name="20% - akcent 5 3 2 2 3 8" xfId="8016"/>
    <cellStyle name="20% - akcent 5 3 2 2 4" xfId="8017"/>
    <cellStyle name="20% - akcent 5 3 2 2 4 2" xfId="8018"/>
    <cellStyle name="20% - akcent 5 3 2 2 4 2 2" xfId="8019"/>
    <cellStyle name="20% - akcent 5 3 2 2 4 2 2 2" xfId="8020"/>
    <cellStyle name="20% - akcent 5 3 2 2 4 2 2 2 2" xfId="8021"/>
    <cellStyle name="20% - akcent 5 3 2 2 4 2 2 3" xfId="8022"/>
    <cellStyle name="20% - akcent 5 3 2 2 4 2 2 3 2" xfId="8023"/>
    <cellStyle name="20% - akcent 5 3 2 2 4 2 2 4" xfId="8024"/>
    <cellStyle name="20% - akcent 5 3 2 2 4 2 3" xfId="8025"/>
    <cellStyle name="20% - akcent 5 3 2 2 4 2 3 2" xfId="8026"/>
    <cellStyle name="20% - akcent 5 3 2 2 4 2 4" xfId="8027"/>
    <cellStyle name="20% - akcent 5 3 2 2 4 2 4 2" xfId="8028"/>
    <cellStyle name="20% - akcent 5 3 2 2 4 2 5" xfId="8029"/>
    <cellStyle name="20% - akcent 5 3 2 2 4 3" xfId="8030"/>
    <cellStyle name="20% - akcent 5 3 2 2 4 3 2" xfId="8031"/>
    <cellStyle name="20% - akcent 5 3 2 2 4 3 2 2" xfId="8032"/>
    <cellStyle name="20% - akcent 5 3 2 2 4 3 2 2 2" xfId="8033"/>
    <cellStyle name="20% - akcent 5 3 2 2 4 3 2 3" xfId="8034"/>
    <cellStyle name="20% - akcent 5 3 2 2 4 3 2 3 2" xfId="8035"/>
    <cellStyle name="20% - akcent 5 3 2 2 4 3 2 4" xfId="8036"/>
    <cellStyle name="20% - akcent 5 3 2 2 4 3 3" xfId="8037"/>
    <cellStyle name="20% - akcent 5 3 2 2 4 3 3 2" xfId="8038"/>
    <cellStyle name="20% - akcent 5 3 2 2 4 3 4" xfId="8039"/>
    <cellStyle name="20% - akcent 5 3 2 2 4 3 4 2" xfId="8040"/>
    <cellStyle name="20% - akcent 5 3 2 2 4 3 5" xfId="8041"/>
    <cellStyle name="20% - akcent 5 3 2 2 4 4" xfId="8042"/>
    <cellStyle name="20% - akcent 5 3 2 2 4 4 2" xfId="8043"/>
    <cellStyle name="20% - akcent 5 3 2 2 4 4 2 2" xfId="8044"/>
    <cellStyle name="20% - akcent 5 3 2 2 4 4 2 2 2" xfId="8045"/>
    <cellStyle name="20% - akcent 5 3 2 2 4 4 2 3" xfId="8046"/>
    <cellStyle name="20% - akcent 5 3 2 2 4 4 2 4" xfId="8047"/>
    <cellStyle name="20% - akcent 5 3 2 2 4 4 3" xfId="8048"/>
    <cellStyle name="20% - akcent 5 3 2 2 4 4 4" xfId="8049"/>
    <cellStyle name="20% - akcent 5 3 2 2 4 4 5" xfId="8050"/>
    <cellStyle name="20% - akcent 5 3 2 2 4 5" xfId="8051"/>
    <cellStyle name="20% - akcent 5 3 2 2 4 5 2" xfId="8052"/>
    <cellStyle name="20% - akcent 5 3 2 2 4 5 3" xfId="8053"/>
    <cellStyle name="20% - akcent 5 3 2 2 4 6" xfId="8054"/>
    <cellStyle name="20% - akcent 5 3 2 2 4 7" xfId="8055"/>
    <cellStyle name="20% - akcent 5 3 2 2 4 8" xfId="8056"/>
    <cellStyle name="20% - akcent 5 3 2 2 5" xfId="8057"/>
    <cellStyle name="20% - akcent 5 3 2 2 5 2" xfId="8058"/>
    <cellStyle name="20% - akcent 5 3 2 2 5 2 2" xfId="8059"/>
    <cellStyle name="20% - akcent 5 3 2 2 5 2 2 2" xfId="8060"/>
    <cellStyle name="20% - akcent 5 3 2 2 5 2 2 3" xfId="8061"/>
    <cellStyle name="20% - akcent 5 3 2 2 5 2 3" xfId="8062"/>
    <cellStyle name="20% - akcent 5 3 2 2 5 2 4" xfId="8063"/>
    <cellStyle name="20% - akcent 5 3 2 2 5 3" xfId="8064"/>
    <cellStyle name="20% - akcent 5 3 2 2 5 3 2" xfId="8065"/>
    <cellStyle name="20% - akcent 5 3 2 2 5 3 3" xfId="8066"/>
    <cellStyle name="20% - akcent 5 3 2 2 5 4" xfId="8067"/>
    <cellStyle name="20% - akcent 5 3 2 2 5 5" xfId="8068"/>
    <cellStyle name="20% - akcent 5 3 2 2 6" xfId="8069"/>
    <cellStyle name="20% - akcent 5 3 2 2 6 2" xfId="8070"/>
    <cellStyle name="20% - akcent 5 3 2 2 6 2 2" xfId="8071"/>
    <cellStyle name="20% - akcent 5 3 2 2 6 2 3" xfId="8072"/>
    <cellStyle name="20% - akcent 5 3 2 2 6 3" xfId="8073"/>
    <cellStyle name="20% - akcent 5 3 2 2 6 4" xfId="8074"/>
    <cellStyle name="20% - akcent 5 3 2 2 7" xfId="8075"/>
    <cellStyle name="20% - akcent 5 3 2 2 7 2" xfId="8076"/>
    <cellStyle name="20% - akcent 5 3 2 2 7 2 2" xfId="8077"/>
    <cellStyle name="20% - akcent 5 3 2 2 7 2 3" xfId="8078"/>
    <cellStyle name="20% - akcent 5 3 2 2 7 3" xfId="8079"/>
    <cellStyle name="20% - akcent 5 3 2 2 7 4" xfId="8080"/>
    <cellStyle name="20% - akcent 5 3 2 2 8" xfId="8081"/>
    <cellStyle name="20% - akcent 5 3 2 2 8 2" xfId="8082"/>
    <cellStyle name="20% - akcent 5 3 2 2 8 2 2" xfId="8083"/>
    <cellStyle name="20% - akcent 5 3 2 2 8 2 3" xfId="8084"/>
    <cellStyle name="20% - akcent 5 3 2 2 8 3" xfId="8085"/>
    <cellStyle name="20% - akcent 5 3 2 2 8 4" xfId="8086"/>
    <cellStyle name="20% - akcent 5 3 2 2 9" xfId="8087"/>
    <cellStyle name="20% - akcent 5 3 2 2 9 2" xfId="8088"/>
    <cellStyle name="20% - akcent 5 3 2 2 9 3" xfId="8089"/>
    <cellStyle name="20% - akcent 5 3 2 3" xfId="8090"/>
    <cellStyle name="20% - akcent 5 3 2 3 10" xfId="8091"/>
    <cellStyle name="20% - akcent 5 3 2 3 2" xfId="8092"/>
    <cellStyle name="20% - akcent 5 3 2 3 2 2" xfId="8093"/>
    <cellStyle name="20% - akcent 5 3 2 3 2 2 2" xfId="8094"/>
    <cellStyle name="20% - akcent 5 3 2 3 2 2 2 2" xfId="8095"/>
    <cellStyle name="20% - akcent 5 3 2 3 2 2 2 3" xfId="8096"/>
    <cellStyle name="20% - akcent 5 3 2 3 2 2 3" xfId="8097"/>
    <cellStyle name="20% - akcent 5 3 2 3 2 2 4" xfId="8098"/>
    <cellStyle name="20% - akcent 5 3 2 3 2 3" xfId="8099"/>
    <cellStyle name="20% - akcent 5 3 2 3 2 3 2" xfId="8100"/>
    <cellStyle name="20% - akcent 5 3 2 3 2 3 2 2" xfId="8101"/>
    <cellStyle name="20% - akcent 5 3 2 3 2 3 2 3" xfId="8102"/>
    <cellStyle name="20% - akcent 5 3 2 3 2 3 3" xfId="8103"/>
    <cellStyle name="20% - akcent 5 3 2 3 2 3 4" xfId="8104"/>
    <cellStyle name="20% - akcent 5 3 2 3 2 4" xfId="8105"/>
    <cellStyle name="20% - akcent 5 3 2 3 2 4 2" xfId="8106"/>
    <cellStyle name="20% - akcent 5 3 2 3 2 4 2 2" xfId="8107"/>
    <cellStyle name="20% - akcent 5 3 2 3 2 4 2 3" xfId="8108"/>
    <cellStyle name="20% - akcent 5 3 2 3 2 4 3" xfId="8109"/>
    <cellStyle name="20% - akcent 5 3 2 3 2 4 4" xfId="8110"/>
    <cellStyle name="20% - akcent 5 3 2 3 2 5" xfId="8111"/>
    <cellStyle name="20% - akcent 5 3 2 3 2 5 2" xfId="8112"/>
    <cellStyle name="20% - akcent 5 3 2 3 2 5 3" xfId="8113"/>
    <cellStyle name="20% - akcent 5 3 2 3 2 6" xfId="8114"/>
    <cellStyle name="20% - akcent 5 3 2 3 2 7" xfId="8115"/>
    <cellStyle name="20% - akcent 5 3 2 3 3" xfId="8116"/>
    <cellStyle name="20% - akcent 5 3 2 3 3 2" xfId="8117"/>
    <cellStyle name="20% - akcent 5 3 2 3 3 2 2" xfId="8118"/>
    <cellStyle name="20% - akcent 5 3 2 3 3 2 2 2" xfId="8119"/>
    <cellStyle name="20% - akcent 5 3 2 3 3 2 2 3" xfId="8120"/>
    <cellStyle name="20% - akcent 5 3 2 3 3 2 3" xfId="8121"/>
    <cellStyle name="20% - akcent 5 3 2 3 3 2 4" xfId="8122"/>
    <cellStyle name="20% - akcent 5 3 2 3 3 3" xfId="8123"/>
    <cellStyle name="20% - akcent 5 3 2 3 3 3 2" xfId="8124"/>
    <cellStyle name="20% - akcent 5 3 2 3 3 3 2 2" xfId="8125"/>
    <cellStyle name="20% - akcent 5 3 2 3 3 3 2 3" xfId="8126"/>
    <cellStyle name="20% - akcent 5 3 2 3 3 3 3" xfId="8127"/>
    <cellStyle name="20% - akcent 5 3 2 3 3 3 4" xfId="8128"/>
    <cellStyle name="20% - akcent 5 3 2 3 3 4" xfId="8129"/>
    <cellStyle name="20% - akcent 5 3 2 3 3 4 2" xfId="8130"/>
    <cellStyle name="20% - akcent 5 3 2 3 3 4 2 2" xfId="8131"/>
    <cellStyle name="20% - akcent 5 3 2 3 3 4 2 3" xfId="8132"/>
    <cellStyle name="20% - akcent 5 3 2 3 3 4 3" xfId="8133"/>
    <cellStyle name="20% - akcent 5 3 2 3 3 4 4" xfId="8134"/>
    <cellStyle name="20% - akcent 5 3 2 3 3 5" xfId="8135"/>
    <cellStyle name="20% - akcent 5 3 2 3 3 5 2" xfId="8136"/>
    <cellStyle name="20% - akcent 5 3 2 3 3 5 3" xfId="8137"/>
    <cellStyle name="20% - akcent 5 3 2 3 3 6" xfId="8138"/>
    <cellStyle name="20% - akcent 5 3 2 3 3 7" xfId="8139"/>
    <cellStyle name="20% - akcent 5 3 2 3 4" xfId="8140"/>
    <cellStyle name="20% - akcent 5 3 2 3 4 2" xfId="8141"/>
    <cellStyle name="20% - akcent 5 3 2 3 4 2 2" xfId="8142"/>
    <cellStyle name="20% - akcent 5 3 2 3 4 2 2 2" xfId="8143"/>
    <cellStyle name="20% - akcent 5 3 2 3 4 2 2 3" xfId="8144"/>
    <cellStyle name="20% - akcent 5 3 2 3 4 2 3" xfId="8145"/>
    <cellStyle name="20% - akcent 5 3 2 3 4 2 4" xfId="8146"/>
    <cellStyle name="20% - akcent 5 3 2 3 4 3" xfId="8147"/>
    <cellStyle name="20% - akcent 5 3 2 3 4 3 2" xfId="8148"/>
    <cellStyle name="20% - akcent 5 3 2 3 4 3 3" xfId="8149"/>
    <cellStyle name="20% - akcent 5 3 2 3 4 4" xfId="8150"/>
    <cellStyle name="20% - akcent 5 3 2 3 4 5" xfId="8151"/>
    <cellStyle name="20% - akcent 5 3 2 3 5" xfId="8152"/>
    <cellStyle name="20% - akcent 5 3 2 3 5 2" xfId="8153"/>
    <cellStyle name="20% - akcent 5 3 2 3 5 2 2" xfId="8154"/>
    <cellStyle name="20% - akcent 5 3 2 3 5 2 3" xfId="8155"/>
    <cellStyle name="20% - akcent 5 3 2 3 5 3" xfId="8156"/>
    <cellStyle name="20% - akcent 5 3 2 3 5 4" xfId="8157"/>
    <cellStyle name="20% - akcent 5 3 2 3 6" xfId="8158"/>
    <cellStyle name="20% - akcent 5 3 2 3 6 2" xfId="8159"/>
    <cellStyle name="20% - akcent 5 3 2 3 6 2 2" xfId="8160"/>
    <cellStyle name="20% - akcent 5 3 2 3 6 2 3" xfId="8161"/>
    <cellStyle name="20% - akcent 5 3 2 3 6 3" xfId="8162"/>
    <cellStyle name="20% - akcent 5 3 2 3 6 4" xfId="8163"/>
    <cellStyle name="20% - akcent 5 3 2 3 7" xfId="8164"/>
    <cellStyle name="20% - akcent 5 3 2 3 7 2" xfId="8165"/>
    <cellStyle name="20% - akcent 5 3 2 3 7 2 2" xfId="8166"/>
    <cellStyle name="20% - akcent 5 3 2 3 7 2 3" xfId="8167"/>
    <cellStyle name="20% - akcent 5 3 2 3 7 3" xfId="8168"/>
    <cellStyle name="20% - akcent 5 3 2 3 7 4" xfId="8169"/>
    <cellStyle name="20% - akcent 5 3 2 3 8" xfId="8170"/>
    <cellStyle name="20% - akcent 5 3 2 3 8 2" xfId="8171"/>
    <cellStyle name="20% - akcent 5 3 2 3 8 3" xfId="8172"/>
    <cellStyle name="20% - akcent 5 3 2 3 9" xfId="8173"/>
    <cellStyle name="20% - akcent 5 3 2 4" xfId="8174"/>
    <cellStyle name="20% - akcent 5 3 2 4 2" xfId="8175"/>
    <cellStyle name="20% - akcent 5 3 2 4 2 2" xfId="8176"/>
    <cellStyle name="20% - akcent 5 3 2 4 2 2 2" xfId="8177"/>
    <cellStyle name="20% - akcent 5 3 2 4 2 2 2 2" xfId="8178"/>
    <cellStyle name="20% - akcent 5 3 2 4 2 2 2 3" xfId="8179"/>
    <cellStyle name="20% - akcent 5 3 2 4 2 2 3" xfId="8180"/>
    <cellStyle name="20% - akcent 5 3 2 4 2 2 4" xfId="8181"/>
    <cellStyle name="20% - akcent 5 3 2 4 2 3" xfId="8182"/>
    <cellStyle name="20% - akcent 5 3 2 4 2 3 2" xfId="8183"/>
    <cellStyle name="20% - akcent 5 3 2 4 2 3 2 2" xfId="8184"/>
    <cellStyle name="20% - akcent 5 3 2 4 2 3 2 3" xfId="8185"/>
    <cellStyle name="20% - akcent 5 3 2 4 2 3 3" xfId="8186"/>
    <cellStyle name="20% - akcent 5 3 2 4 2 3 4" xfId="8187"/>
    <cellStyle name="20% - akcent 5 3 2 4 2 4" xfId="8188"/>
    <cellStyle name="20% - akcent 5 3 2 4 2 4 2" xfId="8189"/>
    <cellStyle name="20% - akcent 5 3 2 4 2 4 2 2" xfId="8190"/>
    <cellStyle name="20% - akcent 5 3 2 4 2 4 2 3" xfId="8191"/>
    <cellStyle name="20% - akcent 5 3 2 4 2 4 3" xfId="8192"/>
    <cellStyle name="20% - akcent 5 3 2 4 2 4 4" xfId="8193"/>
    <cellStyle name="20% - akcent 5 3 2 4 2 5" xfId="8194"/>
    <cellStyle name="20% - akcent 5 3 2 4 2 5 2" xfId="8195"/>
    <cellStyle name="20% - akcent 5 3 2 4 2 5 3" xfId="8196"/>
    <cellStyle name="20% - akcent 5 3 2 4 2 6" xfId="8197"/>
    <cellStyle name="20% - akcent 5 3 2 4 2 7" xfId="8198"/>
    <cellStyle name="20% - akcent 5 3 2 4 3" xfId="8199"/>
    <cellStyle name="20% - akcent 5 3 2 4 3 2" xfId="8200"/>
    <cellStyle name="20% - akcent 5 3 2 4 3 2 2" xfId="8201"/>
    <cellStyle name="20% - akcent 5 3 2 4 3 2 2 2" xfId="8202"/>
    <cellStyle name="20% - akcent 5 3 2 4 3 2 2 3" xfId="8203"/>
    <cellStyle name="20% - akcent 5 3 2 4 3 2 3" xfId="8204"/>
    <cellStyle name="20% - akcent 5 3 2 4 3 2 4" xfId="8205"/>
    <cellStyle name="20% - akcent 5 3 2 4 3 3" xfId="8206"/>
    <cellStyle name="20% - akcent 5 3 2 4 3 3 2" xfId="8207"/>
    <cellStyle name="20% - akcent 5 3 2 4 3 3 2 2" xfId="8208"/>
    <cellStyle name="20% - akcent 5 3 2 4 3 3 2 3" xfId="8209"/>
    <cellStyle name="20% - akcent 5 3 2 4 3 3 3" xfId="8210"/>
    <cellStyle name="20% - akcent 5 3 2 4 3 3 4" xfId="8211"/>
    <cellStyle name="20% - akcent 5 3 2 4 3 4" xfId="8212"/>
    <cellStyle name="20% - akcent 5 3 2 4 3 4 2" xfId="8213"/>
    <cellStyle name="20% - akcent 5 3 2 4 3 4 2 2" xfId="8214"/>
    <cellStyle name="20% - akcent 5 3 2 4 3 4 2 3" xfId="8215"/>
    <cellStyle name="20% - akcent 5 3 2 4 3 4 3" xfId="8216"/>
    <cellStyle name="20% - akcent 5 3 2 4 3 4 4" xfId="8217"/>
    <cellStyle name="20% - akcent 5 3 2 4 3 5" xfId="8218"/>
    <cellStyle name="20% - akcent 5 3 2 4 3 5 2" xfId="8219"/>
    <cellStyle name="20% - akcent 5 3 2 4 3 5 3" xfId="8220"/>
    <cellStyle name="20% - akcent 5 3 2 4 3 6" xfId="8221"/>
    <cellStyle name="20% - akcent 5 3 2 4 3 7" xfId="8222"/>
    <cellStyle name="20% - akcent 5 3 2 4 4" xfId="8223"/>
    <cellStyle name="20% - akcent 5 3 2 4 4 2" xfId="8224"/>
    <cellStyle name="20% - akcent 5 3 2 4 4 2 2" xfId="8225"/>
    <cellStyle name="20% - akcent 5 3 2 4 4 2 3" xfId="8226"/>
    <cellStyle name="20% - akcent 5 3 2 4 4 3" xfId="8227"/>
    <cellStyle name="20% - akcent 5 3 2 4 4 4" xfId="8228"/>
    <cellStyle name="20% - akcent 5 3 2 4 5" xfId="8229"/>
    <cellStyle name="20% - akcent 5 3 2 4 5 2" xfId="8230"/>
    <cellStyle name="20% - akcent 5 3 2 4 5 2 2" xfId="8231"/>
    <cellStyle name="20% - akcent 5 3 2 4 5 2 3" xfId="8232"/>
    <cellStyle name="20% - akcent 5 3 2 4 5 3" xfId="8233"/>
    <cellStyle name="20% - akcent 5 3 2 4 5 4" xfId="8234"/>
    <cellStyle name="20% - akcent 5 3 2 4 6" xfId="8235"/>
    <cellStyle name="20% - akcent 5 3 2 4 6 2" xfId="8236"/>
    <cellStyle name="20% - akcent 5 3 2 4 6 2 2" xfId="8237"/>
    <cellStyle name="20% - akcent 5 3 2 4 6 2 3" xfId="8238"/>
    <cellStyle name="20% - akcent 5 3 2 4 6 3" xfId="8239"/>
    <cellStyle name="20% - akcent 5 3 2 4 6 4" xfId="8240"/>
    <cellStyle name="20% - akcent 5 3 2 4 7" xfId="8241"/>
    <cellStyle name="20% - akcent 5 3 2 4 7 2" xfId="8242"/>
    <cellStyle name="20% - akcent 5 3 2 4 7 3" xfId="8243"/>
    <cellStyle name="20% - akcent 5 3 2 4 8" xfId="8244"/>
    <cellStyle name="20% - akcent 5 3 2 4 9" xfId="8245"/>
    <cellStyle name="20% - akcent 5 3 2 5" xfId="8246"/>
    <cellStyle name="20% - akcent 5 3 2 5 2" xfId="8247"/>
    <cellStyle name="20% - akcent 5 3 2 5 2 2" xfId="8248"/>
    <cellStyle name="20% - akcent 5 3 2 5 2 2 2" xfId="8249"/>
    <cellStyle name="20% - akcent 5 3 2 5 2 2 3" xfId="8250"/>
    <cellStyle name="20% - akcent 5 3 2 5 2 3" xfId="8251"/>
    <cellStyle name="20% - akcent 5 3 2 5 2 4" xfId="8252"/>
    <cellStyle name="20% - akcent 5 3 2 5 3" xfId="8253"/>
    <cellStyle name="20% - akcent 5 3 2 5 3 2" xfId="8254"/>
    <cellStyle name="20% - akcent 5 3 2 5 3 2 2" xfId="8255"/>
    <cellStyle name="20% - akcent 5 3 2 5 3 2 3" xfId="8256"/>
    <cellStyle name="20% - akcent 5 3 2 5 3 3" xfId="8257"/>
    <cellStyle name="20% - akcent 5 3 2 5 3 4" xfId="8258"/>
    <cellStyle name="20% - akcent 5 3 2 5 4" xfId="8259"/>
    <cellStyle name="20% - akcent 5 3 2 5 4 2" xfId="8260"/>
    <cellStyle name="20% - akcent 5 3 2 5 4 2 2" xfId="8261"/>
    <cellStyle name="20% - akcent 5 3 2 5 4 2 3" xfId="8262"/>
    <cellStyle name="20% - akcent 5 3 2 5 4 3" xfId="8263"/>
    <cellStyle name="20% - akcent 5 3 2 5 4 4" xfId="8264"/>
    <cellStyle name="20% - akcent 5 3 2 5 5" xfId="8265"/>
    <cellStyle name="20% - akcent 5 3 2 5 5 2" xfId="8266"/>
    <cellStyle name="20% - akcent 5 3 2 5 5 3" xfId="8267"/>
    <cellStyle name="20% - akcent 5 3 2 5 6" xfId="8268"/>
    <cellStyle name="20% - akcent 5 3 2 5 7" xfId="8269"/>
    <cellStyle name="20% - akcent 5 3 2 6" xfId="8270"/>
    <cellStyle name="20% - akcent 5 3 2 6 2" xfId="8271"/>
    <cellStyle name="20% - akcent 5 3 2 6 2 2" xfId="8272"/>
    <cellStyle name="20% - akcent 5 3 2 6 2 2 2" xfId="8273"/>
    <cellStyle name="20% - akcent 5 3 2 6 2 2 3" xfId="8274"/>
    <cellStyle name="20% - akcent 5 3 2 6 2 3" xfId="8275"/>
    <cellStyle name="20% - akcent 5 3 2 6 2 4" xfId="8276"/>
    <cellStyle name="20% - akcent 5 3 2 6 3" xfId="8277"/>
    <cellStyle name="20% - akcent 5 3 2 6 3 2" xfId="8278"/>
    <cellStyle name="20% - akcent 5 3 2 6 3 2 2" xfId="8279"/>
    <cellStyle name="20% - akcent 5 3 2 6 3 2 3" xfId="8280"/>
    <cellStyle name="20% - akcent 5 3 2 6 3 3" xfId="8281"/>
    <cellStyle name="20% - akcent 5 3 2 6 3 4" xfId="8282"/>
    <cellStyle name="20% - akcent 5 3 2 6 4" xfId="8283"/>
    <cellStyle name="20% - akcent 5 3 2 6 4 2" xfId="8284"/>
    <cellStyle name="20% - akcent 5 3 2 6 4 2 2" xfId="8285"/>
    <cellStyle name="20% - akcent 5 3 2 6 4 2 3" xfId="8286"/>
    <cellStyle name="20% - akcent 5 3 2 6 4 3" xfId="8287"/>
    <cellStyle name="20% - akcent 5 3 2 6 4 4" xfId="8288"/>
    <cellStyle name="20% - akcent 5 3 2 6 5" xfId="8289"/>
    <cellStyle name="20% - akcent 5 3 2 6 5 2" xfId="8290"/>
    <cellStyle name="20% - akcent 5 3 2 6 5 3" xfId="8291"/>
    <cellStyle name="20% - akcent 5 3 2 6 6" xfId="8292"/>
    <cellStyle name="20% - akcent 5 3 2 6 7" xfId="8293"/>
    <cellStyle name="20% - akcent 5 3 2 7" xfId="8294"/>
    <cellStyle name="20% - akcent 5 3 2 7 2" xfId="8295"/>
    <cellStyle name="20% - akcent 5 3 2 7 2 2" xfId="8296"/>
    <cellStyle name="20% - akcent 5 3 2 7 2 2 2" xfId="8297"/>
    <cellStyle name="20% - akcent 5 3 2 7 2 2 3" xfId="8298"/>
    <cellStyle name="20% - akcent 5 3 2 7 2 3" xfId="8299"/>
    <cellStyle name="20% - akcent 5 3 2 7 2 4" xfId="8300"/>
    <cellStyle name="20% - akcent 5 3 2 7 3" xfId="8301"/>
    <cellStyle name="20% - akcent 5 3 2 7 3 2" xfId="8302"/>
    <cellStyle name="20% - akcent 5 3 2 7 3 3" xfId="8303"/>
    <cellStyle name="20% - akcent 5 3 2 7 4" xfId="8304"/>
    <cellStyle name="20% - akcent 5 3 2 7 5" xfId="8305"/>
    <cellStyle name="20% - akcent 5 3 2 8" xfId="8306"/>
    <cellStyle name="20% - akcent 5 3 2 8 2" xfId="8307"/>
    <cellStyle name="20% - akcent 5 3 2 8 2 2" xfId="8308"/>
    <cellStyle name="20% - akcent 5 3 2 8 2 3" xfId="8309"/>
    <cellStyle name="20% - akcent 5 3 2 8 3" xfId="8310"/>
    <cellStyle name="20% - akcent 5 3 2 8 4" xfId="8311"/>
    <cellStyle name="20% - akcent 5 3 2 9" xfId="8312"/>
    <cellStyle name="20% - akcent 5 3 2 9 2" xfId="8313"/>
    <cellStyle name="20% - akcent 5 3 2 9 2 2" xfId="8314"/>
    <cellStyle name="20% - akcent 5 3 2 9 2 3" xfId="8315"/>
    <cellStyle name="20% - akcent 5 3 2 9 3" xfId="8316"/>
    <cellStyle name="20% - akcent 5 3 2 9 4" xfId="8317"/>
    <cellStyle name="20% - akcent 5 3 3" xfId="8318"/>
    <cellStyle name="20% - akcent 5 3 3 10" xfId="8319"/>
    <cellStyle name="20% - akcent 5 3 3 11" xfId="8320"/>
    <cellStyle name="20% - akcent 5 3 3 2" xfId="8321"/>
    <cellStyle name="20% - akcent 5 3 3 2 10" xfId="8322"/>
    <cellStyle name="20% - akcent 5 3 3 2 2" xfId="8323"/>
    <cellStyle name="20% - akcent 5 3 3 2 2 2" xfId="8324"/>
    <cellStyle name="20% - akcent 5 3 3 2 2 2 2" xfId="8325"/>
    <cellStyle name="20% - akcent 5 3 3 2 2 2 2 2" xfId="8326"/>
    <cellStyle name="20% - akcent 5 3 3 2 2 2 2 3" xfId="8327"/>
    <cellStyle name="20% - akcent 5 3 3 2 2 2 3" xfId="8328"/>
    <cellStyle name="20% - akcent 5 3 3 2 2 2 4" xfId="8329"/>
    <cellStyle name="20% - akcent 5 3 3 2 2 3" xfId="8330"/>
    <cellStyle name="20% - akcent 5 3 3 2 2 3 2" xfId="8331"/>
    <cellStyle name="20% - akcent 5 3 3 2 2 3 2 2" xfId="8332"/>
    <cellStyle name="20% - akcent 5 3 3 2 2 3 2 3" xfId="8333"/>
    <cellStyle name="20% - akcent 5 3 3 2 2 3 3" xfId="8334"/>
    <cellStyle name="20% - akcent 5 3 3 2 2 3 4" xfId="8335"/>
    <cellStyle name="20% - akcent 5 3 3 2 2 4" xfId="8336"/>
    <cellStyle name="20% - akcent 5 3 3 2 2 4 2" xfId="8337"/>
    <cellStyle name="20% - akcent 5 3 3 2 2 4 2 2" xfId="8338"/>
    <cellStyle name="20% - akcent 5 3 3 2 2 4 2 3" xfId="8339"/>
    <cellStyle name="20% - akcent 5 3 3 2 2 4 3" xfId="8340"/>
    <cellStyle name="20% - akcent 5 3 3 2 2 4 4" xfId="8341"/>
    <cellStyle name="20% - akcent 5 3 3 2 2 5" xfId="8342"/>
    <cellStyle name="20% - akcent 5 3 3 2 2 5 2" xfId="8343"/>
    <cellStyle name="20% - akcent 5 3 3 2 2 5 3" xfId="8344"/>
    <cellStyle name="20% - akcent 5 3 3 2 2 6" xfId="8345"/>
    <cellStyle name="20% - akcent 5 3 3 2 2 7" xfId="8346"/>
    <cellStyle name="20% - akcent 5 3 3 2 3" xfId="8347"/>
    <cellStyle name="20% - akcent 5 3 3 2 3 2" xfId="8348"/>
    <cellStyle name="20% - akcent 5 3 3 2 3 2 2" xfId="8349"/>
    <cellStyle name="20% - akcent 5 3 3 2 3 2 2 2" xfId="8350"/>
    <cellStyle name="20% - akcent 5 3 3 2 3 2 2 3" xfId="8351"/>
    <cellStyle name="20% - akcent 5 3 3 2 3 2 3" xfId="8352"/>
    <cellStyle name="20% - akcent 5 3 3 2 3 2 4" xfId="8353"/>
    <cellStyle name="20% - akcent 5 3 3 2 3 3" xfId="8354"/>
    <cellStyle name="20% - akcent 5 3 3 2 3 3 2" xfId="8355"/>
    <cellStyle name="20% - akcent 5 3 3 2 3 3 2 2" xfId="8356"/>
    <cellStyle name="20% - akcent 5 3 3 2 3 3 2 3" xfId="8357"/>
    <cellStyle name="20% - akcent 5 3 3 2 3 3 3" xfId="8358"/>
    <cellStyle name="20% - akcent 5 3 3 2 3 3 4" xfId="8359"/>
    <cellStyle name="20% - akcent 5 3 3 2 3 4" xfId="8360"/>
    <cellStyle name="20% - akcent 5 3 3 2 3 4 2" xfId="8361"/>
    <cellStyle name="20% - akcent 5 3 3 2 3 4 2 2" xfId="8362"/>
    <cellStyle name="20% - akcent 5 3 3 2 3 4 2 3" xfId="8363"/>
    <cellStyle name="20% - akcent 5 3 3 2 3 4 3" xfId="8364"/>
    <cellStyle name="20% - akcent 5 3 3 2 3 4 4" xfId="8365"/>
    <cellStyle name="20% - akcent 5 3 3 2 3 5" xfId="8366"/>
    <cellStyle name="20% - akcent 5 3 3 2 3 5 2" xfId="8367"/>
    <cellStyle name="20% - akcent 5 3 3 2 3 5 3" xfId="8368"/>
    <cellStyle name="20% - akcent 5 3 3 2 3 6" xfId="8369"/>
    <cellStyle name="20% - akcent 5 3 3 2 3 7" xfId="8370"/>
    <cellStyle name="20% - akcent 5 3 3 2 4" xfId="8371"/>
    <cellStyle name="20% - akcent 5 3 3 2 4 2" xfId="8372"/>
    <cellStyle name="20% - akcent 5 3 3 2 4 2 2" xfId="8373"/>
    <cellStyle name="20% - akcent 5 3 3 2 4 2 2 2" xfId="8374"/>
    <cellStyle name="20% - akcent 5 3 3 2 4 2 2 3" xfId="8375"/>
    <cellStyle name="20% - akcent 5 3 3 2 4 2 3" xfId="8376"/>
    <cellStyle name="20% - akcent 5 3 3 2 4 2 4" xfId="8377"/>
    <cellStyle name="20% - akcent 5 3 3 2 4 3" xfId="8378"/>
    <cellStyle name="20% - akcent 5 3 3 2 4 3 2" xfId="8379"/>
    <cellStyle name="20% - akcent 5 3 3 2 4 3 3" xfId="8380"/>
    <cellStyle name="20% - akcent 5 3 3 2 4 4" xfId="8381"/>
    <cellStyle name="20% - akcent 5 3 3 2 4 5" xfId="8382"/>
    <cellStyle name="20% - akcent 5 3 3 2 5" xfId="8383"/>
    <cellStyle name="20% - akcent 5 3 3 2 5 2" xfId="8384"/>
    <cellStyle name="20% - akcent 5 3 3 2 5 2 2" xfId="8385"/>
    <cellStyle name="20% - akcent 5 3 3 2 5 2 3" xfId="8386"/>
    <cellStyle name="20% - akcent 5 3 3 2 5 3" xfId="8387"/>
    <cellStyle name="20% - akcent 5 3 3 2 5 4" xfId="8388"/>
    <cellStyle name="20% - akcent 5 3 3 2 6" xfId="8389"/>
    <cellStyle name="20% - akcent 5 3 3 2 6 2" xfId="8390"/>
    <cellStyle name="20% - akcent 5 3 3 2 6 2 2" xfId="8391"/>
    <cellStyle name="20% - akcent 5 3 3 2 6 2 3" xfId="8392"/>
    <cellStyle name="20% - akcent 5 3 3 2 6 3" xfId="8393"/>
    <cellStyle name="20% - akcent 5 3 3 2 6 4" xfId="8394"/>
    <cellStyle name="20% - akcent 5 3 3 2 7" xfId="8395"/>
    <cellStyle name="20% - akcent 5 3 3 2 7 2" xfId="8396"/>
    <cellStyle name="20% - akcent 5 3 3 2 7 2 2" xfId="8397"/>
    <cellStyle name="20% - akcent 5 3 3 2 7 2 3" xfId="8398"/>
    <cellStyle name="20% - akcent 5 3 3 2 7 3" xfId="8399"/>
    <cellStyle name="20% - akcent 5 3 3 2 7 4" xfId="8400"/>
    <cellStyle name="20% - akcent 5 3 3 2 8" xfId="8401"/>
    <cellStyle name="20% - akcent 5 3 3 2 8 2" xfId="8402"/>
    <cellStyle name="20% - akcent 5 3 3 2 8 3" xfId="8403"/>
    <cellStyle name="20% - akcent 5 3 3 2 9" xfId="8404"/>
    <cellStyle name="20% - akcent 5 3 3 3" xfId="8405"/>
    <cellStyle name="20% - akcent 5 3 3 3 2" xfId="8406"/>
    <cellStyle name="20% - akcent 5 3 3 3 2 2" xfId="8407"/>
    <cellStyle name="20% - akcent 5 3 3 3 2 2 2" xfId="8408"/>
    <cellStyle name="20% - akcent 5 3 3 3 2 2 3" xfId="8409"/>
    <cellStyle name="20% - akcent 5 3 3 3 2 3" xfId="8410"/>
    <cellStyle name="20% - akcent 5 3 3 3 2 4" xfId="8411"/>
    <cellStyle name="20% - akcent 5 3 3 3 3" xfId="8412"/>
    <cellStyle name="20% - akcent 5 3 3 3 3 2" xfId="8413"/>
    <cellStyle name="20% - akcent 5 3 3 3 3 2 2" xfId="8414"/>
    <cellStyle name="20% - akcent 5 3 3 3 3 2 3" xfId="8415"/>
    <cellStyle name="20% - akcent 5 3 3 3 3 3" xfId="8416"/>
    <cellStyle name="20% - akcent 5 3 3 3 3 4" xfId="8417"/>
    <cellStyle name="20% - akcent 5 3 3 3 4" xfId="8418"/>
    <cellStyle name="20% - akcent 5 3 3 3 4 2" xfId="8419"/>
    <cellStyle name="20% - akcent 5 3 3 3 4 2 2" xfId="8420"/>
    <cellStyle name="20% - akcent 5 3 3 3 4 2 3" xfId="8421"/>
    <cellStyle name="20% - akcent 5 3 3 3 4 3" xfId="8422"/>
    <cellStyle name="20% - akcent 5 3 3 3 4 4" xfId="8423"/>
    <cellStyle name="20% - akcent 5 3 3 3 5" xfId="8424"/>
    <cellStyle name="20% - akcent 5 3 3 3 5 2" xfId="8425"/>
    <cellStyle name="20% - akcent 5 3 3 3 5 3" xfId="8426"/>
    <cellStyle name="20% - akcent 5 3 3 3 6" xfId="8427"/>
    <cellStyle name="20% - akcent 5 3 3 3 7" xfId="8428"/>
    <cellStyle name="20% - akcent 5 3 3 4" xfId="8429"/>
    <cellStyle name="20% - akcent 5 3 3 4 2" xfId="8430"/>
    <cellStyle name="20% - akcent 5 3 3 4 2 2" xfId="8431"/>
    <cellStyle name="20% - akcent 5 3 3 4 2 2 2" xfId="8432"/>
    <cellStyle name="20% - akcent 5 3 3 4 2 2 3" xfId="8433"/>
    <cellStyle name="20% - akcent 5 3 3 4 2 3" xfId="8434"/>
    <cellStyle name="20% - akcent 5 3 3 4 2 4" xfId="8435"/>
    <cellStyle name="20% - akcent 5 3 3 4 3" xfId="8436"/>
    <cellStyle name="20% - akcent 5 3 3 4 3 2" xfId="8437"/>
    <cellStyle name="20% - akcent 5 3 3 4 3 2 2" xfId="8438"/>
    <cellStyle name="20% - akcent 5 3 3 4 3 2 3" xfId="8439"/>
    <cellStyle name="20% - akcent 5 3 3 4 3 3" xfId="8440"/>
    <cellStyle name="20% - akcent 5 3 3 4 3 4" xfId="8441"/>
    <cellStyle name="20% - akcent 5 3 3 4 4" xfId="8442"/>
    <cellStyle name="20% - akcent 5 3 3 4 4 2" xfId="8443"/>
    <cellStyle name="20% - akcent 5 3 3 4 4 2 2" xfId="8444"/>
    <cellStyle name="20% - akcent 5 3 3 4 4 2 3" xfId="8445"/>
    <cellStyle name="20% - akcent 5 3 3 4 4 3" xfId="8446"/>
    <cellStyle name="20% - akcent 5 3 3 4 4 4" xfId="8447"/>
    <cellStyle name="20% - akcent 5 3 3 4 5" xfId="8448"/>
    <cellStyle name="20% - akcent 5 3 3 4 5 2" xfId="8449"/>
    <cellStyle name="20% - akcent 5 3 3 4 5 3" xfId="8450"/>
    <cellStyle name="20% - akcent 5 3 3 4 6" xfId="8451"/>
    <cellStyle name="20% - akcent 5 3 3 4 7" xfId="8452"/>
    <cellStyle name="20% - akcent 5 3 3 5" xfId="8453"/>
    <cellStyle name="20% - akcent 5 3 3 5 2" xfId="8454"/>
    <cellStyle name="20% - akcent 5 3 3 5 2 2" xfId="8455"/>
    <cellStyle name="20% - akcent 5 3 3 5 2 2 2" xfId="8456"/>
    <cellStyle name="20% - akcent 5 3 3 5 2 2 3" xfId="8457"/>
    <cellStyle name="20% - akcent 5 3 3 5 2 3" xfId="8458"/>
    <cellStyle name="20% - akcent 5 3 3 5 2 4" xfId="8459"/>
    <cellStyle name="20% - akcent 5 3 3 5 3" xfId="8460"/>
    <cellStyle name="20% - akcent 5 3 3 5 3 2" xfId="8461"/>
    <cellStyle name="20% - akcent 5 3 3 5 3 3" xfId="8462"/>
    <cellStyle name="20% - akcent 5 3 3 5 4" xfId="8463"/>
    <cellStyle name="20% - akcent 5 3 3 5 5" xfId="8464"/>
    <cellStyle name="20% - akcent 5 3 3 6" xfId="8465"/>
    <cellStyle name="20% - akcent 5 3 3 6 2" xfId="8466"/>
    <cellStyle name="20% - akcent 5 3 3 6 2 2" xfId="8467"/>
    <cellStyle name="20% - akcent 5 3 3 6 2 3" xfId="8468"/>
    <cellStyle name="20% - akcent 5 3 3 6 3" xfId="8469"/>
    <cellStyle name="20% - akcent 5 3 3 6 4" xfId="8470"/>
    <cellStyle name="20% - akcent 5 3 3 7" xfId="8471"/>
    <cellStyle name="20% - akcent 5 3 3 7 2" xfId="8472"/>
    <cellStyle name="20% - akcent 5 3 3 7 2 2" xfId="8473"/>
    <cellStyle name="20% - akcent 5 3 3 7 2 3" xfId="8474"/>
    <cellStyle name="20% - akcent 5 3 3 7 3" xfId="8475"/>
    <cellStyle name="20% - akcent 5 3 3 7 4" xfId="8476"/>
    <cellStyle name="20% - akcent 5 3 3 8" xfId="8477"/>
    <cellStyle name="20% - akcent 5 3 3 8 2" xfId="8478"/>
    <cellStyle name="20% - akcent 5 3 3 8 2 2" xfId="8479"/>
    <cellStyle name="20% - akcent 5 3 3 8 2 3" xfId="8480"/>
    <cellStyle name="20% - akcent 5 3 3 8 3" xfId="8481"/>
    <cellStyle name="20% - akcent 5 3 3 8 4" xfId="8482"/>
    <cellStyle name="20% - akcent 5 3 3 9" xfId="8483"/>
    <cellStyle name="20% - akcent 5 3 3 9 2" xfId="8484"/>
    <cellStyle name="20% - akcent 5 3 3 9 3" xfId="8485"/>
    <cellStyle name="20% - akcent 5 3 4" xfId="8486"/>
    <cellStyle name="20% - akcent 5 3 4 10" xfId="8487"/>
    <cellStyle name="20% - akcent 5 3 4 2" xfId="8488"/>
    <cellStyle name="20% - akcent 5 3 4 2 2" xfId="8489"/>
    <cellStyle name="20% - akcent 5 3 4 2 2 2" xfId="8490"/>
    <cellStyle name="20% - akcent 5 3 4 2 2 2 2" xfId="8491"/>
    <cellStyle name="20% - akcent 5 3 4 2 2 2 3" xfId="8492"/>
    <cellStyle name="20% - akcent 5 3 4 2 2 3" xfId="8493"/>
    <cellStyle name="20% - akcent 5 3 4 2 2 4" xfId="8494"/>
    <cellStyle name="20% - akcent 5 3 4 2 3" xfId="8495"/>
    <cellStyle name="20% - akcent 5 3 4 2 3 2" xfId="8496"/>
    <cellStyle name="20% - akcent 5 3 4 2 3 2 2" xfId="8497"/>
    <cellStyle name="20% - akcent 5 3 4 2 3 2 3" xfId="8498"/>
    <cellStyle name="20% - akcent 5 3 4 2 3 3" xfId="8499"/>
    <cellStyle name="20% - akcent 5 3 4 2 3 4" xfId="8500"/>
    <cellStyle name="20% - akcent 5 3 4 2 4" xfId="8501"/>
    <cellStyle name="20% - akcent 5 3 4 2 4 2" xfId="8502"/>
    <cellStyle name="20% - akcent 5 3 4 2 4 2 2" xfId="8503"/>
    <cellStyle name="20% - akcent 5 3 4 2 4 2 3" xfId="8504"/>
    <cellStyle name="20% - akcent 5 3 4 2 4 3" xfId="8505"/>
    <cellStyle name="20% - akcent 5 3 4 2 4 4" xfId="8506"/>
    <cellStyle name="20% - akcent 5 3 4 2 5" xfId="8507"/>
    <cellStyle name="20% - akcent 5 3 4 2 5 2" xfId="8508"/>
    <cellStyle name="20% - akcent 5 3 4 2 5 3" xfId="8509"/>
    <cellStyle name="20% - akcent 5 3 4 2 6" xfId="8510"/>
    <cellStyle name="20% - akcent 5 3 4 2 7" xfId="8511"/>
    <cellStyle name="20% - akcent 5 3 4 3" xfId="8512"/>
    <cellStyle name="20% - akcent 5 3 4 3 2" xfId="8513"/>
    <cellStyle name="20% - akcent 5 3 4 3 2 2" xfId="8514"/>
    <cellStyle name="20% - akcent 5 3 4 3 2 2 2" xfId="8515"/>
    <cellStyle name="20% - akcent 5 3 4 3 2 2 3" xfId="8516"/>
    <cellStyle name="20% - akcent 5 3 4 3 2 3" xfId="8517"/>
    <cellStyle name="20% - akcent 5 3 4 3 2 4" xfId="8518"/>
    <cellStyle name="20% - akcent 5 3 4 3 3" xfId="8519"/>
    <cellStyle name="20% - akcent 5 3 4 3 3 2" xfId="8520"/>
    <cellStyle name="20% - akcent 5 3 4 3 3 2 2" xfId="8521"/>
    <cellStyle name="20% - akcent 5 3 4 3 3 2 3" xfId="8522"/>
    <cellStyle name="20% - akcent 5 3 4 3 3 3" xfId="8523"/>
    <cellStyle name="20% - akcent 5 3 4 3 3 4" xfId="8524"/>
    <cellStyle name="20% - akcent 5 3 4 3 4" xfId="8525"/>
    <cellStyle name="20% - akcent 5 3 4 3 4 2" xfId="8526"/>
    <cellStyle name="20% - akcent 5 3 4 3 4 2 2" xfId="8527"/>
    <cellStyle name="20% - akcent 5 3 4 3 4 2 3" xfId="8528"/>
    <cellStyle name="20% - akcent 5 3 4 3 4 3" xfId="8529"/>
    <cellStyle name="20% - akcent 5 3 4 3 4 4" xfId="8530"/>
    <cellStyle name="20% - akcent 5 3 4 3 5" xfId="8531"/>
    <cellStyle name="20% - akcent 5 3 4 3 5 2" xfId="8532"/>
    <cellStyle name="20% - akcent 5 3 4 3 5 3" xfId="8533"/>
    <cellStyle name="20% - akcent 5 3 4 3 6" xfId="8534"/>
    <cellStyle name="20% - akcent 5 3 4 3 7" xfId="8535"/>
    <cellStyle name="20% - akcent 5 3 4 4" xfId="8536"/>
    <cellStyle name="20% - akcent 5 3 4 4 2" xfId="8537"/>
    <cellStyle name="20% - akcent 5 3 4 4 2 2" xfId="8538"/>
    <cellStyle name="20% - akcent 5 3 4 4 2 2 2" xfId="8539"/>
    <cellStyle name="20% - akcent 5 3 4 4 2 2 3" xfId="8540"/>
    <cellStyle name="20% - akcent 5 3 4 4 2 3" xfId="8541"/>
    <cellStyle name="20% - akcent 5 3 4 4 2 4" xfId="8542"/>
    <cellStyle name="20% - akcent 5 3 4 4 3" xfId="8543"/>
    <cellStyle name="20% - akcent 5 3 4 4 3 2" xfId="8544"/>
    <cellStyle name="20% - akcent 5 3 4 4 3 3" xfId="8545"/>
    <cellStyle name="20% - akcent 5 3 4 4 4" xfId="8546"/>
    <cellStyle name="20% - akcent 5 3 4 4 5" xfId="8547"/>
    <cellStyle name="20% - akcent 5 3 4 5" xfId="8548"/>
    <cellStyle name="20% - akcent 5 3 4 5 2" xfId="8549"/>
    <cellStyle name="20% - akcent 5 3 4 5 2 2" xfId="8550"/>
    <cellStyle name="20% - akcent 5 3 4 5 2 3" xfId="8551"/>
    <cellStyle name="20% - akcent 5 3 4 5 3" xfId="8552"/>
    <cellStyle name="20% - akcent 5 3 4 5 4" xfId="8553"/>
    <cellStyle name="20% - akcent 5 3 4 6" xfId="8554"/>
    <cellStyle name="20% - akcent 5 3 4 6 2" xfId="8555"/>
    <cellStyle name="20% - akcent 5 3 4 6 2 2" xfId="8556"/>
    <cellStyle name="20% - akcent 5 3 4 6 2 3" xfId="8557"/>
    <cellStyle name="20% - akcent 5 3 4 6 3" xfId="8558"/>
    <cellStyle name="20% - akcent 5 3 4 6 4" xfId="8559"/>
    <cellStyle name="20% - akcent 5 3 4 7" xfId="8560"/>
    <cellStyle name="20% - akcent 5 3 4 7 2" xfId="8561"/>
    <cellStyle name="20% - akcent 5 3 4 7 2 2" xfId="8562"/>
    <cellStyle name="20% - akcent 5 3 4 7 2 3" xfId="8563"/>
    <cellStyle name="20% - akcent 5 3 4 7 3" xfId="8564"/>
    <cellStyle name="20% - akcent 5 3 4 7 4" xfId="8565"/>
    <cellStyle name="20% - akcent 5 3 4 8" xfId="8566"/>
    <cellStyle name="20% - akcent 5 3 4 8 2" xfId="8567"/>
    <cellStyle name="20% - akcent 5 3 4 8 3" xfId="8568"/>
    <cellStyle name="20% - akcent 5 3 4 9" xfId="8569"/>
    <cellStyle name="20% - akcent 5 3 5" xfId="8570"/>
    <cellStyle name="20% - akcent 5 3 5 2" xfId="8571"/>
    <cellStyle name="20% - akcent 5 3 5 2 2" xfId="8572"/>
    <cellStyle name="20% - akcent 5 3 5 2 2 2" xfId="8573"/>
    <cellStyle name="20% - akcent 5 3 5 2 2 2 2" xfId="8574"/>
    <cellStyle name="20% - akcent 5 3 5 2 2 2 3" xfId="8575"/>
    <cellStyle name="20% - akcent 5 3 5 2 2 3" xfId="8576"/>
    <cellStyle name="20% - akcent 5 3 5 2 2 4" xfId="8577"/>
    <cellStyle name="20% - akcent 5 3 5 2 3" xfId="8578"/>
    <cellStyle name="20% - akcent 5 3 5 2 3 2" xfId="8579"/>
    <cellStyle name="20% - akcent 5 3 5 2 3 2 2" xfId="8580"/>
    <cellStyle name="20% - akcent 5 3 5 2 3 2 3" xfId="8581"/>
    <cellStyle name="20% - akcent 5 3 5 2 3 3" xfId="8582"/>
    <cellStyle name="20% - akcent 5 3 5 2 3 4" xfId="8583"/>
    <cellStyle name="20% - akcent 5 3 5 2 4" xfId="8584"/>
    <cellStyle name="20% - akcent 5 3 5 2 4 2" xfId="8585"/>
    <cellStyle name="20% - akcent 5 3 5 2 4 2 2" xfId="8586"/>
    <cellStyle name="20% - akcent 5 3 5 2 4 2 3" xfId="8587"/>
    <cellStyle name="20% - akcent 5 3 5 2 4 3" xfId="8588"/>
    <cellStyle name="20% - akcent 5 3 5 2 4 4" xfId="8589"/>
    <cellStyle name="20% - akcent 5 3 5 2 5" xfId="8590"/>
    <cellStyle name="20% - akcent 5 3 5 2 5 2" xfId="8591"/>
    <cellStyle name="20% - akcent 5 3 5 2 5 3" xfId="8592"/>
    <cellStyle name="20% - akcent 5 3 5 2 6" xfId="8593"/>
    <cellStyle name="20% - akcent 5 3 5 2 7" xfId="8594"/>
    <cellStyle name="20% - akcent 5 3 5 3" xfId="8595"/>
    <cellStyle name="20% - akcent 5 3 5 3 2" xfId="8596"/>
    <cellStyle name="20% - akcent 5 3 5 3 2 2" xfId="8597"/>
    <cellStyle name="20% - akcent 5 3 5 3 2 2 2" xfId="8598"/>
    <cellStyle name="20% - akcent 5 3 5 3 2 2 3" xfId="8599"/>
    <cellStyle name="20% - akcent 5 3 5 3 2 3" xfId="8600"/>
    <cellStyle name="20% - akcent 5 3 5 3 2 4" xfId="8601"/>
    <cellStyle name="20% - akcent 5 3 5 3 3" xfId="8602"/>
    <cellStyle name="20% - akcent 5 3 5 3 3 2" xfId="8603"/>
    <cellStyle name="20% - akcent 5 3 5 3 3 2 2" xfId="8604"/>
    <cellStyle name="20% - akcent 5 3 5 3 3 2 3" xfId="8605"/>
    <cellStyle name="20% - akcent 5 3 5 3 3 3" xfId="8606"/>
    <cellStyle name="20% - akcent 5 3 5 3 3 4" xfId="8607"/>
    <cellStyle name="20% - akcent 5 3 5 3 4" xfId="8608"/>
    <cellStyle name="20% - akcent 5 3 5 3 4 2" xfId="8609"/>
    <cellStyle name="20% - akcent 5 3 5 3 4 2 2" xfId="8610"/>
    <cellStyle name="20% - akcent 5 3 5 3 4 2 3" xfId="8611"/>
    <cellStyle name="20% - akcent 5 3 5 3 4 3" xfId="8612"/>
    <cellStyle name="20% - akcent 5 3 5 3 4 4" xfId="8613"/>
    <cellStyle name="20% - akcent 5 3 5 3 5" xfId="8614"/>
    <cellStyle name="20% - akcent 5 3 5 3 5 2" xfId="8615"/>
    <cellStyle name="20% - akcent 5 3 5 3 5 3" xfId="8616"/>
    <cellStyle name="20% - akcent 5 3 5 3 6" xfId="8617"/>
    <cellStyle name="20% - akcent 5 3 5 3 7" xfId="8618"/>
    <cellStyle name="20% - akcent 5 3 5 4" xfId="8619"/>
    <cellStyle name="20% - akcent 5 3 5 4 2" xfId="8620"/>
    <cellStyle name="20% - akcent 5 3 5 4 2 2" xfId="8621"/>
    <cellStyle name="20% - akcent 5 3 5 4 2 3" xfId="8622"/>
    <cellStyle name="20% - akcent 5 3 5 4 3" xfId="8623"/>
    <cellStyle name="20% - akcent 5 3 5 4 4" xfId="8624"/>
    <cellStyle name="20% - akcent 5 3 5 5" xfId="8625"/>
    <cellStyle name="20% - akcent 5 3 5 5 2" xfId="8626"/>
    <cellStyle name="20% - akcent 5 3 5 5 2 2" xfId="8627"/>
    <cellStyle name="20% - akcent 5 3 5 5 2 3" xfId="8628"/>
    <cellStyle name="20% - akcent 5 3 5 5 3" xfId="8629"/>
    <cellStyle name="20% - akcent 5 3 5 5 4" xfId="8630"/>
    <cellStyle name="20% - akcent 5 3 5 6" xfId="8631"/>
    <cellStyle name="20% - akcent 5 3 5 6 2" xfId="8632"/>
    <cellStyle name="20% - akcent 5 3 5 6 2 2" xfId="8633"/>
    <cellStyle name="20% - akcent 5 3 5 6 2 3" xfId="8634"/>
    <cellStyle name="20% - akcent 5 3 5 6 3" xfId="8635"/>
    <cellStyle name="20% - akcent 5 3 5 6 4" xfId="8636"/>
    <cellStyle name="20% - akcent 5 3 5 7" xfId="8637"/>
    <cellStyle name="20% - akcent 5 3 5 7 2" xfId="8638"/>
    <cellStyle name="20% - akcent 5 3 5 7 3" xfId="8639"/>
    <cellStyle name="20% - akcent 5 3 5 8" xfId="8640"/>
    <cellStyle name="20% - akcent 5 3 5 9" xfId="8641"/>
    <cellStyle name="20% - akcent 5 3 6" xfId="8642"/>
    <cellStyle name="20% - akcent 5 3 6 2" xfId="8643"/>
    <cellStyle name="20% - akcent 5 3 6 2 2" xfId="8644"/>
    <cellStyle name="20% - akcent 5 3 6 2 2 2" xfId="8645"/>
    <cellStyle name="20% - akcent 5 3 6 2 2 2 2" xfId="8646"/>
    <cellStyle name="20% - akcent 5 3 6 2 2 2 3" xfId="8647"/>
    <cellStyle name="20% - akcent 5 3 6 2 2 3" xfId="8648"/>
    <cellStyle name="20% - akcent 5 3 6 2 2 4" xfId="8649"/>
    <cellStyle name="20% - akcent 5 3 6 2 3" xfId="8650"/>
    <cellStyle name="20% - akcent 5 3 6 2 3 2" xfId="8651"/>
    <cellStyle name="20% - akcent 5 3 6 2 3 2 2" xfId="8652"/>
    <cellStyle name="20% - akcent 5 3 6 2 3 2 3" xfId="8653"/>
    <cellStyle name="20% - akcent 5 3 6 2 3 3" xfId="8654"/>
    <cellStyle name="20% - akcent 5 3 6 2 3 4" xfId="8655"/>
    <cellStyle name="20% - akcent 5 3 6 2 4" xfId="8656"/>
    <cellStyle name="20% - akcent 5 3 6 2 4 2" xfId="8657"/>
    <cellStyle name="20% - akcent 5 3 6 2 4 2 2" xfId="8658"/>
    <cellStyle name="20% - akcent 5 3 6 2 4 2 3" xfId="8659"/>
    <cellStyle name="20% - akcent 5 3 6 2 4 3" xfId="8660"/>
    <cellStyle name="20% - akcent 5 3 6 2 4 4" xfId="8661"/>
    <cellStyle name="20% - akcent 5 3 6 2 5" xfId="8662"/>
    <cellStyle name="20% - akcent 5 3 6 2 5 2" xfId="8663"/>
    <cellStyle name="20% - akcent 5 3 6 2 5 3" xfId="8664"/>
    <cellStyle name="20% - akcent 5 3 6 2 6" xfId="8665"/>
    <cellStyle name="20% - akcent 5 3 6 2 7" xfId="8666"/>
    <cellStyle name="20% - akcent 5 3 6 3" xfId="8667"/>
    <cellStyle name="20% - akcent 5 3 6 3 2" xfId="8668"/>
    <cellStyle name="20% - akcent 5 3 6 3 2 2" xfId="8669"/>
    <cellStyle name="20% - akcent 5 3 6 3 2 2 2" xfId="8670"/>
    <cellStyle name="20% - akcent 5 3 6 3 2 2 3" xfId="8671"/>
    <cellStyle name="20% - akcent 5 3 6 3 2 3" xfId="8672"/>
    <cellStyle name="20% - akcent 5 3 6 3 2 4" xfId="8673"/>
    <cellStyle name="20% - akcent 5 3 6 3 3" xfId="8674"/>
    <cellStyle name="20% - akcent 5 3 6 3 3 2" xfId="8675"/>
    <cellStyle name="20% - akcent 5 3 6 3 3 2 2" xfId="8676"/>
    <cellStyle name="20% - akcent 5 3 6 3 3 2 3" xfId="8677"/>
    <cellStyle name="20% - akcent 5 3 6 3 3 3" xfId="8678"/>
    <cellStyle name="20% - akcent 5 3 6 3 3 4" xfId="8679"/>
    <cellStyle name="20% - akcent 5 3 6 3 4" xfId="8680"/>
    <cellStyle name="20% - akcent 5 3 6 3 4 2" xfId="8681"/>
    <cellStyle name="20% - akcent 5 3 6 3 4 2 2" xfId="8682"/>
    <cellStyle name="20% - akcent 5 3 6 3 4 2 3" xfId="8683"/>
    <cellStyle name="20% - akcent 5 3 6 3 4 3" xfId="8684"/>
    <cellStyle name="20% - akcent 5 3 6 3 4 4" xfId="8685"/>
    <cellStyle name="20% - akcent 5 3 6 3 5" xfId="8686"/>
    <cellStyle name="20% - akcent 5 3 6 3 5 2" xfId="8687"/>
    <cellStyle name="20% - akcent 5 3 6 3 5 3" xfId="8688"/>
    <cellStyle name="20% - akcent 5 3 6 3 6" xfId="8689"/>
    <cellStyle name="20% - akcent 5 3 6 3 7" xfId="8690"/>
    <cellStyle name="20% - akcent 5 3 6 4" xfId="8691"/>
    <cellStyle name="20% - akcent 5 3 6 4 2" xfId="8692"/>
    <cellStyle name="20% - akcent 5 3 6 4 2 2" xfId="8693"/>
    <cellStyle name="20% - akcent 5 3 6 4 2 3" xfId="8694"/>
    <cellStyle name="20% - akcent 5 3 6 4 3" xfId="8695"/>
    <cellStyle name="20% - akcent 5 3 6 4 4" xfId="8696"/>
    <cellStyle name="20% - akcent 5 3 6 5" xfId="8697"/>
    <cellStyle name="20% - akcent 5 3 6 5 2" xfId="8698"/>
    <cellStyle name="20% - akcent 5 3 6 5 2 2" xfId="8699"/>
    <cellStyle name="20% - akcent 5 3 6 5 2 3" xfId="8700"/>
    <cellStyle name="20% - akcent 5 3 6 5 3" xfId="8701"/>
    <cellStyle name="20% - akcent 5 3 6 5 4" xfId="8702"/>
    <cellStyle name="20% - akcent 5 3 6 6" xfId="8703"/>
    <cellStyle name="20% - akcent 5 3 6 6 2" xfId="8704"/>
    <cellStyle name="20% - akcent 5 3 6 6 2 2" xfId="8705"/>
    <cellStyle name="20% - akcent 5 3 6 6 2 3" xfId="8706"/>
    <cellStyle name="20% - akcent 5 3 6 6 3" xfId="8707"/>
    <cellStyle name="20% - akcent 5 3 6 6 4" xfId="8708"/>
    <cellStyle name="20% - akcent 5 3 6 7" xfId="8709"/>
    <cellStyle name="20% - akcent 5 3 6 7 2" xfId="8710"/>
    <cellStyle name="20% - akcent 5 3 6 7 3" xfId="8711"/>
    <cellStyle name="20% - akcent 5 3 6 8" xfId="8712"/>
    <cellStyle name="20% - akcent 5 3 6 9" xfId="8713"/>
    <cellStyle name="20% - akcent 5 3 7" xfId="8714"/>
    <cellStyle name="20% - akcent 5 3 7 2" xfId="8715"/>
    <cellStyle name="20% - akcent 5 3 7 2 2" xfId="8716"/>
    <cellStyle name="20% - akcent 5 3 7 2 2 2" xfId="8717"/>
    <cellStyle name="20% - akcent 5 3 7 2 2 2 2" xfId="8718"/>
    <cellStyle name="20% - akcent 5 3 7 2 2 2 3" xfId="8719"/>
    <cellStyle name="20% - akcent 5 3 7 2 2 3" xfId="8720"/>
    <cellStyle name="20% - akcent 5 3 7 2 2 4" xfId="8721"/>
    <cellStyle name="20% - akcent 5 3 7 2 3" xfId="8722"/>
    <cellStyle name="20% - akcent 5 3 7 2 3 2" xfId="8723"/>
    <cellStyle name="20% - akcent 5 3 7 2 3 2 2" xfId="8724"/>
    <cellStyle name="20% - akcent 5 3 7 2 3 2 3" xfId="8725"/>
    <cellStyle name="20% - akcent 5 3 7 2 3 3" xfId="8726"/>
    <cellStyle name="20% - akcent 5 3 7 2 3 4" xfId="8727"/>
    <cellStyle name="20% - akcent 5 3 7 2 4" xfId="8728"/>
    <cellStyle name="20% - akcent 5 3 7 2 4 2" xfId="8729"/>
    <cellStyle name="20% - akcent 5 3 7 2 4 2 2" xfId="8730"/>
    <cellStyle name="20% - akcent 5 3 7 2 4 2 3" xfId="8731"/>
    <cellStyle name="20% - akcent 5 3 7 2 4 3" xfId="8732"/>
    <cellStyle name="20% - akcent 5 3 7 2 4 4" xfId="8733"/>
    <cellStyle name="20% - akcent 5 3 7 2 5" xfId="8734"/>
    <cellStyle name="20% - akcent 5 3 7 2 5 2" xfId="8735"/>
    <cellStyle name="20% - akcent 5 3 7 2 5 3" xfId="8736"/>
    <cellStyle name="20% - akcent 5 3 7 2 6" xfId="8737"/>
    <cellStyle name="20% - akcent 5 3 7 2 7" xfId="8738"/>
    <cellStyle name="20% - akcent 5 3 7 3" xfId="8739"/>
    <cellStyle name="20% - akcent 5 3 7 3 2" xfId="8740"/>
    <cellStyle name="20% - akcent 5 3 7 3 2 2" xfId="8741"/>
    <cellStyle name="20% - akcent 5 3 7 3 2 3" xfId="8742"/>
    <cellStyle name="20% - akcent 5 3 7 3 3" xfId="8743"/>
    <cellStyle name="20% - akcent 5 3 7 3 4" xfId="8744"/>
    <cellStyle name="20% - akcent 5 3 7 4" xfId="8745"/>
    <cellStyle name="20% - akcent 5 3 7 4 2" xfId="8746"/>
    <cellStyle name="20% - akcent 5 3 7 4 2 2" xfId="8747"/>
    <cellStyle name="20% - akcent 5 3 7 4 2 3" xfId="8748"/>
    <cellStyle name="20% - akcent 5 3 7 4 3" xfId="8749"/>
    <cellStyle name="20% - akcent 5 3 7 4 4" xfId="8750"/>
    <cellStyle name="20% - akcent 5 3 7 5" xfId="8751"/>
    <cellStyle name="20% - akcent 5 3 7 5 2" xfId="8752"/>
    <cellStyle name="20% - akcent 5 3 7 5 2 2" xfId="8753"/>
    <cellStyle name="20% - akcent 5 3 7 5 2 3" xfId="8754"/>
    <cellStyle name="20% - akcent 5 3 7 5 3" xfId="8755"/>
    <cellStyle name="20% - akcent 5 3 7 5 4" xfId="8756"/>
    <cellStyle name="20% - akcent 5 3 7 6" xfId="8757"/>
    <cellStyle name="20% - akcent 5 3 7 6 2" xfId="8758"/>
    <cellStyle name="20% - akcent 5 3 7 6 3" xfId="8759"/>
    <cellStyle name="20% - akcent 5 3 7 7" xfId="8760"/>
    <cellStyle name="20% - akcent 5 3 7 8" xfId="8761"/>
    <cellStyle name="20% - akcent 5 3 8" xfId="8762"/>
    <cellStyle name="20% - akcent 5 3 8 2" xfId="8763"/>
    <cellStyle name="20% - akcent 5 3 8 2 2" xfId="8764"/>
    <cellStyle name="20% - akcent 5 3 8 2 2 2" xfId="8765"/>
    <cellStyle name="20% - akcent 5 3 8 2 2 2 2" xfId="8766"/>
    <cellStyle name="20% - akcent 5 3 8 2 2 2 3" xfId="8767"/>
    <cellStyle name="20% - akcent 5 3 8 2 2 3" xfId="8768"/>
    <cellStyle name="20% - akcent 5 3 8 2 2 4" xfId="8769"/>
    <cellStyle name="20% - akcent 5 3 8 2 3" xfId="8770"/>
    <cellStyle name="20% - akcent 5 3 8 2 3 2" xfId="8771"/>
    <cellStyle name="20% - akcent 5 3 8 2 3 2 2" xfId="8772"/>
    <cellStyle name="20% - akcent 5 3 8 2 3 2 3" xfId="8773"/>
    <cellStyle name="20% - akcent 5 3 8 2 3 3" xfId="8774"/>
    <cellStyle name="20% - akcent 5 3 8 2 3 4" xfId="8775"/>
    <cellStyle name="20% - akcent 5 3 8 2 4" xfId="8776"/>
    <cellStyle name="20% - akcent 5 3 8 2 4 2" xfId="8777"/>
    <cellStyle name="20% - akcent 5 3 8 2 4 2 2" xfId="8778"/>
    <cellStyle name="20% - akcent 5 3 8 2 4 2 3" xfId="8779"/>
    <cellStyle name="20% - akcent 5 3 8 2 4 3" xfId="8780"/>
    <cellStyle name="20% - akcent 5 3 8 2 4 4" xfId="8781"/>
    <cellStyle name="20% - akcent 5 3 8 2 5" xfId="8782"/>
    <cellStyle name="20% - akcent 5 3 8 2 5 2" xfId="8783"/>
    <cellStyle name="20% - akcent 5 3 8 2 5 3" xfId="8784"/>
    <cellStyle name="20% - akcent 5 3 8 2 6" xfId="8785"/>
    <cellStyle name="20% - akcent 5 3 8 2 7" xfId="8786"/>
    <cellStyle name="20% - akcent 5 3 8 3" xfId="8787"/>
    <cellStyle name="20% - akcent 5 3 8 3 2" xfId="8788"/>
    <cellStyle name="20% - akcent 5 3 8 3 2 2" xfId="8789"/>
    <cellStyle name="20% - akcent 5 3 8 3 2 3" xfId="8790"/>
    <cellStyle name="20% - akcent 5 3 8 3 3" xfId="8791"/>
    <cellStyle name="20% - akcent 5 3 8 3 4" xfId="8792"/>
    <cellStyle name="20% - akcent 5 3 8 4" xfId="8793"/>
    <cellStyle name="20% - akcent 5 3 8 4 2" xfId="8794"/>
    <cellStyle name="20% - akcent 5 3 8 4 2 2" xfId="8795"/>
    <cellStyle name="20% - akcent 5 3 8 4 2 3" xfId="8796"/>
    <cellStyle name="20% - akcent 5 3 8 4 3" xfId="8797"/>
    <cellStyle name="20% - akcent 5 3 8 4 4" xfId="8798"/>
    <cellStyle name="20% - akcent 5 3 8 5" xfId="8799"/>
    <cellStyle name="20% - akcent 5 3 8 5 2" xfId="8800"/>
    <cellStyle name="20% - akcent 5 3 8 5 2 2" xfId="8801"/>
    <cellStyle name="20% - akcent 5 3 8 5 2 3" xfId="8802"/>
    <cellStyle name="20% - akcent 5 3 8 5 3" xfId="8803"/>
    <cellStyle name="20% - akcent 5 3 8 5 4" xfId="8804"/>
    <cellStyle name="20% - akcent 5 3 8 6" xfId="8805"/>
    <cellStyle name="20% - akcent 5 3 8 6 2" xfId="8806"/>
    <cellStyle name="20% - akcent 5 3 8 6 3" xfId="8807"/>
    <cellStyle name="20% - akcent 5 3 8 7" xfId="8808"/>
    <cellStyle name="20% - akcent 5 3 8 8" xfId="8809"/>
    <cellStyle name="20% - akcent 5 3 9" xfId="8810"/>
    <cellStyle name="20% - akcent 5 3 9 2" xfId="8811"/>
    <cellStyle name="20% - akcent 5 3 9 2 2" xfId="8812"/>
    <cellStyle name="20% - akcent 5 3 9 2 2 2" xfId="8813"/>
    <cellStyle name="20% - akcent 5 3 9 2 2 3" xfId="8814"/>
    <cellStyle name="20% - akcent 5 3 9 2 3" xfId="8815"/>
    <cellStyle name="20% - akcent 5 3 9 2 4" xfId="8816"/>
    <cellStyle name="20% - akcent 5 3 9 3" xfId="8817"/>
    <cellStyle name="20% - akcent 5 3 9 3 2" xfId="8818"/>
    <cellStyle name="20% - akcent 5 3 9 3 2 2" xfId="8819"/>
    <cellStyle name="20% - akcent 5 3 9 3 2 3" xfId="8820"/>
    <cellStyle name="20% - akcent 5 3 9 3 3" xfId="8821"/>
    <cellStyle name="20% - akcent 5 3 9 3 4" xfId="8822"/>
    <cellStyle name="20% - akcent 5 3 9 4" xfId="8823"/>
    <cellStyle name="20% - akcent 5 3 9 4 2" xfId="8824"/>
    <cellStyle name="20% - akcent 5 3 9 4 2 2" xfId="8825"/>
    <cellStyle name="20% - akcent 5 3 9 4 2 3" xfId="8826"/>
    <cellStyle name="20% - akcent 5 3 9 4 3" xfId="8827"/>
    <cellStyle name="20% - akcent 5 3 9 4 4" xfId="8828"/>
    <cellStyle name="20% - akcent 5 3 9 5" xfId="8829"/>
    <cellStyle name="20% - akcent 5 3 9 5 2" xfId="8830"/>
    <cellStyle name="20% - akcent 5 3 9 5 3" xfId="8831"/>
    <cellStyle name="20% - akcent 5 3 9 6" xfId="8832"/>
    <cellStyle name="20% - akcent 5 3 9 7" xfId="8833"/>
    <cellStyle name="20% - akcent 5 4" xfId="8834"/>
    <cellStyle name="20% - akcent 5 5" xfId="8835"/>
    <cellStyle name="20% - akcent 5 6" xfId="8836"/>
    <cellStyle name="20% - akcent 6 2" xfId="8837"/>
    <cellStyle name="20% - akcent 6 2 2" xfId="8838"/>
    <cellStyle name="20% - akcent 6 2 3" xfId="8839"/>
    <cellStyle name="20% - akcent 6 2 4" xfId="8840"/>
    <cellStyle name="20% - akcent 6 3" xfId="8841"/>
    <cellStyle name="20% - akcent 6 3 10" xfId="8842"/>
    <cellStyle name="20% - akcent 6 3 10 2" xfId="8843"/>
    <cellStyle name="20% - akcent 6 3 10 2 2" xfId="8844"/>
    <cellStyle name="20% - akcent 6 3 10 2 2 2" xfId="8845"/>
    <cellStyle name="20% - akcent 6 3 10 2 2 3" xfId="8846"/>
    <cellStyle name="20% - akcent 6 3 10 2 3" xfId="8847"/>
    <cellStyle name="20% - akcent 6 3 10 2 4" xfId="8848"/>
    <cellStyle name="20% - akcent 6 3 10 3" xfId="8849"/>
    <cellStyle name="20% - akcent 6 3 10 3 2" xfId="8850"/>
    <cellStyle name="20% - akcent 6 3 10 3 3" xfId="8851"/>
    <cellStyle name="20% - akcent 6 3 10 4" xfId="8852"/>
    <cellStyle name="20% - akcent 6 3 10 5" xfId="8853"/>
    <cellStyle name="20% - akcent 6 3 11" xfId="8854"/>
    <cellStyle name="20% - akcent 6 3 11 2" xfId="8855"/>
    <cellStyle name="20% - akcent 6 3 11 2 2" xfId="8856"/>
    <cellStyle name="20% - akcent 6 3 11 2 3" xfId="8857"/>
    <cellStyle name="20% - akcent 6 3 11 3" xfId="8858"/>
    <cellStyle name="20% - akcent 6 3 11 4" xfId="8859"/>
    <cellStyle name="20% - akcent 6 3 12" xfId="8860"/>
    <cellStyle name="20% - akcent 6 3 12 2" xfId="8861"/>
    <cellStyle name="20% - akcent 6 3 12 2 2" xfId="8862"/>
    <cellStyle name="20% - akcent 6 3 12 2 3" xfId="8863"/>
    <cellStyle name="20% - akcent 6 3 12 3" xfId="8864"/>
    <cellStyle name="20% - akcent 6 3 12 4" xfId="8865"/>
    <cellStyle name="20% - akcent 6 3 13" xfId="8866"/>
    <cellStyle name="20% - akcent 6 3 13 2" xfId="8867"/>
    <cellStyle name="20% - akcent 6 3 13 2 2" xfId="8868"/>
    <cellStyle name="20% - akcent 6 3 13 2 3" xfId="8869"/>
    <cellStyle name="20% - akcent 6 3 13 3" xfId="8870"/>
    <cellStyle name="20% - akcent 6 3 13 4" xfId="8871"/>
    <cellStyle name="20% - akcent 6 3 14" xfId="8872"/>
    <cellStyle name="20% - akcent 6 3 14 2" xfId="8873"/>
    <cellStyle name="20% - akcent 6 3 14 3" xfId="8874"/>
    <cellStyle name="20% - akcent 6 3 15" xfId="8875"/>
    <cellStyle name="20% - akcent 6 3 15 2" xfId="8876"/>
    <cellStyle name="20% - akcent 6 3 15 3" xfId="8877"/>
    <cellStyle name="20% - akcent 6 3 16" xfId="8878"/>
    <cellStyle name="20% - akcent 6 3 17" xfId="8879"/>
    <cellStyle name="20% - akcent 6 3 18" xfId="8880"/>
    <cellStyle name="20% - akcent 6 3 2" xfId="8881"/>
    <cellStyle name="20% - akcent 6 3 2 10" xfId="8882"/>
    <cellStyle name="20% - akcent 6 3 2 10 2" xfId="8883"/>
    <cellStyle name="20% - akcent 6 3 2 10 2 2" xfId="8884"/>
    <cellStyle name="20% - akcent 6 3 2 10 2 3" xfId="8885"/>
    <cellStyle name="20% - akcent 6 3 2 10 3" xfId="8886"/>
    <cellStyle name="20% - akcent 6 3 2 10 4" xfId="8887"/>
    <cellStyle name="20% - akcent 6 3 2 11" xfId="8888"/>
    <cellStyle name="20% - akcent 6 3 2 11 2" xfId="8889"/>
    <cellStyle name="20% - akcent 6 3 2 11 3" xfId="8890"/>
    <cellStyle name="20% - akcent 6 3 2 12" xfId="8891"/>
    <cellStyle name="20% - akcent 6 3 2 12 2" xfId="8892"/>
    <cellStyle name="20% - akcent 6 3 2 12 3" xfId="8893"/>
    <cellStyle name="20% - akcent 6 3 2 13" xfId="8894"/>
    <cellStyle name="20% - akcent 6 3 2 14" xfId="8895"/>
    <cellStyle name="20% - akcent 6 3 2 15" xfId="8896"/>
    <cellStyle name="20% - akcent 6 3 2 2" xfId="8897"/>
    <cellStyle name="20% - akcent 6 3 2 2 10" xfId="8898"/>
    <cellStyle name="20% - akcent 6 3 2 2 11" xfId="8899"/>
    <cellStyle name="20% - akcent 6 3 2 2 2" xfId="8900"/>
    <cellStyle name="20% - akcent 6 3 2 2 2 2" xfId="8901"/>
    <cellStyle name="20% - akcent 6 3 2 2 2 2 2" xfId="8902"/>
    <cellStyle name="20% - akcent 6 3 2 2 2 2 2 2" xfId="8903"/>
    <cellStyle name="20% - akcent 6 3 2 2 2 2 2 2 2" xfId="8904"/>
    <cellStyle name="20% - akcent 6 3 2 2 2 2 2 2 3" xfId="8905"/>
    <cellStyle name="20% - akcent 6 3 2 2 2 2 2 3" xfId="8906"/>
    <cellStyle name="20% - akcent 6 3 2 2 2 2 2 4" xfId="8907"/>
    <cellStyle name="20% - akcent 6 3 2 2 2 2 3" xfId="8908"/>
    <cellStyle name="20% - akcent 6 3 2 2 2 2 3 2" xfId="8909"/>
    <cellStyle name="20% - akcent 6 3 2 2 2 2 3 2 2" xfId="8910"/>
    <cellStyle name="20% - akcent 6 3 2 2 2 2 3 2 3" xfId="8911"/>
    <cellStyle name="20% - akcent 6 3 2 2 2 2 3 3" xfId="8912"/>
    <cellStyle name="20% - akcent 6 3 2 2 2 2 3 4" xfId="8913"/>
    <cellStyle name="20% - akcent 6 3 2 2 2 2 4" xfId="8914"/>
    <cellStyle name="20% - akcent 6 3 2 2 2 2 4 2" xfId="8915"/>
    <cellStyle name="20% - akcent 6 3 2 2 2 2 4 2 2" xfId="8916"/>
    <cellStyle name="20% - akcent 6 3 2 2 2 2 4 2 3" xfId="8917"/>
    <cellStyle name="20% - akcent 6 3 2 2 2 2 4 3" xfId="8918"/>
    <cellStyle name="20% - akcent 6 3 2 2 2 2 4 4" xfId="8919"/>
    <cellStyle name="20% - akcent 6 3 2 2 2 2 5" xfId="8920"/>
    <cellStyle name="20% - akcent 6 3 2 2 2 2 5 2" xfId="8921"/>
    <cellStyle name="20% - akcent 6 3 2 2 2 2 5 3" xfId="8922"/>
    <cellStyle name="20% - akcent 6 3 2 2 2 2 6" xfId="8923"/>
    <cellStyle name="20% - akcent 6 3 2 2 2 2 7" xfId="8924"/>
    <cellStyle name="20% - akcent 6 3 2 2 2 3" xfId="8925"/>
    <cellStyle name="20% - akcent 6 3 2 2 2 3 2" xfId="8926"/>
    <cellStyle name="20% - akcent 6 3 2 2 2 3 2 2" xfId="8927"/>
    <cellStyle name="20% - akcent 6 3 2 2 2 3 2 2 2" xfId="8928"/>
    <cellStyle name="20% - akcent 6 3 2 2 2 3 2 2 3" xfId="8929"/>
    <cellStyle name="20% - akcent 6 3 2 2 2 3 2 3" xfId="8930"/>
    <cellStyle name="20% - akcent 6 3 2 2 2 3 2 4" xfId="8931"/>
    <cellStyle name="20% - akcent 6 3 2 2 2 3 3" xfId="8932"/>
    <cellStyle name="20% - akcent 6 3 2 2 2 3 3 2" xfId="8933"/>
    <cellStyle name="20% - akcent 6 3 2 2 2 3 3 2 2" xfId="8934"/>
    <cellStyle name="20% - akcent 6 3 2 2 2 3 3 2 3" xfId="8935"/>
    <cellStyle name="20% - akcent 6 3 2 2 2 3 3 3" xfId="8936"/>
    <cellStyle name="20% - akcent 6 3 2 2 2 3 3 4" xfId="8937"/>
    <cellStyle name="20% - akcent 6 3 2 2 2 3 4" xfId="8938"/>
    <cellStyle name="20% - akcent 6 3 2 2 2 3 4 2" xfId="8939"/>
    <cellStyle name="20% - akcent 6 3 2 2 2 3 4 2 2" xfId="8940"/>
    <cellStyle name="20% - akcent 6 3 2 2 2 3 4 2 3" xfId="8941"/>
    <cellStyle name="20% - akcent 6 3 2 2 2 3 4 3" xfId="8942"/>
    <cellStyle name="20% - akcent 6 3 2 2 2 3 4 4" xfId="8943"/>
    <cellStyle name="20% - akcent 6 3 2 2 2 3 5" xfId="8944"/>
    <cellStyle name="20% - akcent 6 3 2 2 2 3 5 2" xfId="8945"/>
    <cellStyle name="20% - akcent 6 3 2 2 2 3 5 3" xfId="8946"/>
    <cellStyle name="20% - akcent 6 3 2 2 2 3 6" xfId="8947"/>
    <cellStyle name="20% - akcent 6 3 2 2 2 3 7" xfId="8948"/>
    <cellStyle name="20% - akcent 6 3 2 2 2 4" xfId="8949"/>
    <cellStyle name="20% - akcent 6 3 2 2 2 4 2" xfId="8950"/>
    <cellStyle name="20% - akcent 6 3 2 2 2 4 2 2" xfId="8951"/>
    <cellStyle name="20% - akcent 6 3 2 2 2 4 2 3" xfId="8952"/>
    <cellStyle name="20% - akcent 6 3 2 2 2 4 3" xfId="8953"/>
    <cellStyle name="20% - akcent 6 3 2 2 2 4 4" xfId="8954"/>
    <cellStyle name="20% - akcent 6 3 2 2 2 5" xfId="8955"/>
    <cellStyle name="20% - akcent 6 3 2 2 2 5 2" xfId="8956"/>
    <cellStyle name="20% - akcent 6 3 2 2 2 5 2 2" xfId="8957"/>
    <cellStyle name="20% - akcent 6 3 2 2 2 5 2 3" xfId="8958"/>
    <cellStyle name="20% - akcent 6 3 2 2 2 5 3" xfId="8959"/>
    <cellStyle name="20% - akcent 6 3 2 2 2 5 4" xfId="8960"/>
    <cellStyle name="20% - akcent 6 3 2 2 2 6" xfId="8961"/>
    <cellStyle name="20% - akcent 6 3 2 2 2 6 2" xfId="8962"/>
    <cellStyle name="20% - akcent 6 3 2 2 2 6 2 2" xfId="8963"/>
    <cellStyle name="20% - akcent 6 3 2 2 2 6 2 3" xfId="8964"/>
    <cellStyle name="20% - akcent 6 3 2 2 2 6 3" xfId="8965"/>
    <cellStyle name="20% - akcent 6 3 2 2 2 6 4" xfId="8966"/>
    <cellStyle name="20% - akcent 6 3 2 2 2 7" xfId="8967"/>
    <cellStyle name="20% - akcent 6 3 2 2 2 7 2" xfId="8968"/>
    <cellStyle name="20% - akcent 6 3 2 2 2 7 3" xfId="8969"/>
    <cellStyle name="20% - akcent 6 3 2 2 2 8" xfId="8970"/>
    <cellStyle name="20% - akcent 6 3 2 2 2 9" xfId="8971"/>
    <cellStyle name="20% - akcent 6 3 2 2 3" xfId="8972"/>
    <cellStyle name="20% - akcent 6 3 2 2 3 2" xfId="8973"/>
    <cellStyle name="20% - akcent 6 3 2 2 3 2 2" xfId="8974"/>
    <cellStyle name="20% - akcent 6 3 2 2 3 2 2 2" xfId="8975"/>
    <cellStyle name="20% - akcent 6 3 2 2 3 2 2 3" xfId="8976"/>
    <cellStyle name="20% - akcent 6 3 2 2 3 2 3" xfId="8977"/>
    <cellStyle name="20% - akcent 6 3 2 2 3 2 4" xfId="8978"/>
    <cellStyle name="20% - akcent 6 3 2 2 3 3" xfId="8979"/>
    <cellStyle name="20% - akcent 6 3 2 2 3 3 2" xfId="8980"/>
    <cellStyle name="20% - akcent 6 3 2 2 3 3 2 2" xfId="8981"/>
    <cellStyle name="20% - akcent 6 3 2 2 3 3 2 3" xfId="8982"/>
    <cellStyle name="20% - akcent 6 3 2 2 3 3 3" xfId="8983"/>
    <cellStyle name="20% - akcent 6 3 2 2 3 3 4" xfId="8984"/>
    <cellStyle name="20% - akcent 6 3 2 2 3 4" xfId="8985"/>
    <cellStyle name="20% - akcent 6 3 2 2 3 4 2" xfId="8986"/>
    <cellStyle name="20% - akcent 6 3 2 2 3 4 2 2" xfId="8987"/>
    <cellStyle name="20% - akcent 6 3 2 2 3 4 2 3" xfId="8988"/>
    <cellStyle name="20% - akcent 6 3 2 2 3 4 3" xfId="8989"/>
    <cellStyle name="20% - akcent 6 3 2 2 3 4 4" xfId="8990"/>
    <cellStyle name="20% - akcent 6 3 2 2 3 5" xfId="8991"/>
    <cellStyle name="20% - akcent 6 3 2 2 3 5 2" xfId="8992"/>
    <cellStyle name="20% - akcent 6 3 2 2 3 5 3" xfId="8993"/>
    <cellStyle name="20% - akcent 6 3 2 2 3 6" xfId="8994"/>
    <cellStyle name="20% - akcent 6 3 2 2 3 7" xfId="8995"/>
    <cellStyle name="20% - akcent 6 3 2 2 4" xfId="8996"/>
    <cellStyle name="20% - akcent 6 3 2 2 4 2" xfId="8997"/>
    <cellStyle name="20% - akcent 6 3 2 2 4 2 2" xfId="8998"/>
    <cellStyle name="20% - akcent 6 3 2 2 4 2 2 2" xfId="8999"/>
    <cellStyle name="20% - akcent 6 3 2 2 4 2 2 3" xfId="9000"/>
    <cellStyle name="20% - akcent 6 3 2 2 4 2 3" xfId="9001"/>
    <cellStyle name="20% - akcent 6 3 2 2 4 2 4" xfId="9002"/>
    <cellStyle name="20% - akcent 6 3 2 2 4 3" xfId="9003"/>
    <cellStyle name="20% - akcent 6 3 2 2 4 3 2" xfId="9004"/>
    <cellStyle name="20% - akcent 6 3 2 2 4 3 2 2" xfId="9005"/>
    <cellStyle name="20% - akcent 6 3 2 2 4 3 2 3" xfId="9006"/>
    <cellStyle name="20% - akcent 6 3 2 2 4 3 3" xfId="9007"/>
    <cellStyle name="20% - akcent 6 3 2 2 4 3 4" xfId="9008"/>
    <cellStyle name="20% - akcent 6 3 2 2 4 4" xfId="9009"/>
    <cellStyle name="20% - akcent 6 3 2 2 4 4 2" xfId="9010"/>
    <cellStyle name="20% - akcent 6 3 2 2 4 4 2 2" xfId="9011"/>
    <cellStyle name="20% - akcent 6 3 2 2 4 4 2 3" xfId="9012"/>
    <cellStyle name="20% - akcent 6 3 2 2 4 4 3" xfId="9013"/>
    <cellStyle name="20% - akcent 6 3 2 2 4 4 4" xfId="9014"/>
    <cellStyle name="20% - akcent 6 3 2 2 4 5" xfId="9015"/>
    <cellStyle name="20% - akcent 6 3 2 2 4 5 2" xfId="9016"/>
    <cellStyle name="20% - akcent 6 3 2 2 4 5 3" xfId="9017"/>
    <cellStyle name="20% - akcent 6 3 2 2 4 6" xfId="9018"/>
    <cellStyle name="20% - akcent 6 3 2 2 4 7" xfId="9019"/>
    <cellStyle name="20% - akcent 6 3 2 2 5" xfId="9020"/>
    <cellStyle name="20% - akcent 6 3 2 2 5 2" xfId="9021"/>
    <cellStyle name="20% - akcent 6 3 2 2 5 2 2" xfId="9022"/>
    <cellStyle name="20% - akcent 6 3 2 2 5 2 2 2" xfId="9023"/>
    <cellStyle name="20% - akcent 6 3 2 2 5 2 2 3" xfId="9024"/>
    <cellStyle name="20% - akcent 6 3 2 2 5 2 3" xfId="9025"/>
    <cellStyle name="20% - akcent 6 3 2 2 5 2 4" xfId="9026"/>
    <cellStyle name="20% - akcent 6 3 2 2 5 3" xfId="9027"/>
    <cellStyle name="20% - akcent 6 3 2 2 5 3 2" xfId="9028"/>
    <cellStyle name="20% - akcent 6 3 2 2 5 3 3" xfId="9029"/>
    <cellStyle name="20% - akcent 6 3 2 2 5 4" xfId="9030"/>
    <cellStyle name="20% - akcent 6 3 2 2 5 5" xfId="9031"/>
    <cellStyle name="20% - akcent 6 3 2 2 6" xfId="9032"/>
    <cellStyle name="20% - akcent 6 3 2 2 6 2" xfId="9033"/>
    <cellStyle name="20% - akcent 6 3 2 2 6 2 2" xfId="9034"/>
    <cellStyle name="20% - akcent 6 3 2 2 6 2 3" xfId="9035"/>
    <cellStyle name="20% - akcent 6 3 2 2 6 3" xfId="9036"/>
    <cellStyle name="20% - akcent 6 3 2 2 6 4" xfId="9037"/>
    <cellStyle name="20% - akcent 6 3 2 2 7" xfId="9038"/>
    <cellStyle name="20% - akcent 6 3 2 2 7 2" xfId="9039"/>
    <cellStyle name="20% - akcent 6 3 2 2 7 2 2" xfId="9040"/>
    <cellStyle name="20% - akcent 6 3 2 2 7 2 3" xfId="9041"/>
    <cellStyle name="20% - akcent 6 3 2 2 7 3" xfId="9042"/>
    <cellStyle name="20% - akcent 6 3 2 2 7 4" xfId="9043"/>
    <cellStyle name="20% - akcent 6 3 2 2 8" xfId="9044"/>
    <cellStyle name="20% - akcent 6 3 2 2 8 2" xfId="9045"/>
    <cellStyle name="20% - akcent 6 3 2 2 8 2 2" xfId="9046"/>
    <cellStyle name="20% - akcent 6 3 2 2 8 2 3" xfId="9047"/>
    <cellStyle name="20% - akcent 6 3 2 2 8 3" xfId="9048"/>
    <cellStyle name="20% - akcent 6 3 2 2 8 4" xfId="9049"/>
    <cellStyle name="20% - akcent 6 3 2 2 9" xfId="9050"/>
    <cellStyle name="20% - akcent 6 3 2 2 9 2" xfId="9051"/>
    <cellStyle name="20% - akcent 6 3 2 2 9 3" xfId="9052"/>
    <cellStyle name="20% - akcent 6 3 2 3" xfId="9053"/>
    <cellStyle name="20% - akcent 6 3 2 3 10" xfId="9054"/>
    <cellStyle name="20% - akcent 6 3 2 3 2" xfId="9055"/>
    <cellStyle name="20% - akcent 6 3 2 3 2 2" xfId="9056"/>
    <cellStyle name="20% - akcent 6 3 2 3 2 2 2" xfId="9057"/>
    <cellStyle name="20% - akcent 6 3 2 3 2 2 2 2" xfId="9058"/>
    <cellStyle name="20% - akcent 6 3 2 3 2 2 2 3" xfId="9059"/>
    <cellStyle name="20% - akcent 6 3 2 3 2 2 3" xfId="9060"/>
    <cellStyle name="20% - akcent 6 3 2 3 2 2 4" xfId="9061"/>
    <cellStyle name="20% - akcent 6 3 2 3 2 3" xfId="9062"/>
    <cellStyle name="20% - akcent 6 3 2 3 2 3 2" xfId="9063"/>
    <cellStyle name="20% - akcent 6 3 2 3 2 3 2 2" xfId="9064"/>
    <cellStyle name="20% - akcent 6 3 2 3 2 3 2 3" xfId="9065"/>
    <cellStyle name="20% - akcent 6 3 2 3 2 3 3" xfId="9066"/>
    <cellStyle name="20% - akcent 6 3 2 3 2 3 4" xfId="9067"/>
    <cellStyle name="20% - akcent 6 3 2 3 2 4" xfId="9068"/>
    <cellStyle name="20% - akcent 6 3 2 3 2 4 2" xfId="9069"/>
    <cellStyle name="20% - akcent 6 3 2 3 2 4 2 2" xfId="9070"/>
    <cellStyle name="20% - akcent 6 3 2 3 2 4 2 3" xfId="9071"/>
    <cellStyle name="20% - akcent 6 3 2 3 2 4 3" xfId="9072"/>
    <cellStyle name="20% - akcent 6 3 2 3 2 4 4" xfId="9073"/>
    <cellStyle name="20% - akcent 6 3 2 3 2 5" xfId="9074"/>
    <cellStyle name="20% - akcent 6 3 2 3 2 5 2" xfId="9075"/>
    <cellStyle name="20% - akcent 6 3 2 3 2 5 3" xfId="9076"/>
    <cellStyle name="20% - akcent 6 3 2 3 2 6" xfId="9077"/>
    <cellStyle name="20% - akcent 6 3 2 3 2 7" xfId="9078"/>
    <cellStyle name="20% - akcent 6 3 2 3 3" xfId="9079"/>
    <cellStyle name="20% - akcent 6 3 2 3 3 2" xfId="9080"/>
    <cellStyle name="20% - akcent 6 3 2 3 3 2 2" xfId="9081"/>
    <cellStyle name="20% - akcent 6 3 2 3 3 2 2 2" xfId="9082"/>
    <cellStyle name="20% - akcent 6 3 2 3 3 2 2 3" xfId="9083"/>
    <cellStyle name="20% - akcent 6 3 2 3 3 2 3" xfId="9084"/>
    <cellStyle name="20% - akcent 6 3 2 3 3 2 4" xfId="9085"/>
    <cellStyle name="20% - akcent 6 3 2 3 3 3" xfId="9086"/>
    <cellStyle name="20% - akcent 6 3 2 3 3 3 2" xfId="9087"/>
    <cellStyle name="20% - akcent 6 3 2 3 3 3 2 2" xfId="9088"/>
    <cellStyle name="20% - akcent 6 3 2 3 3 3 2 3" xfId="9089"/>
    <cellStyle name="20% - akcent 6 3 2 3 3 3 3" xfId="9090"/>
    <cellStyle name="20% - akcent 6 3 2 3 3 3 4" xfId="9091"/>
    <cellStyle name="20% - akcent 6 3 2 3 3 4" xfId="9092"/>
    <cellStyle name="20% - akcent 6 3 2 3 3 4 2" xfId="9093"/>
    <cellStyle name="20% - akcent 6 3 2 3 3 4 2 2" xfId="9094"/>
    <cellStyle name="20% - akcent 6 3 2 3 3 4 2 3" xfId="9095"/>
    <cellStyle name="20% - akcent 6 3 2 3 3 4 3" xfId="9096"/>
    <cellStyle name="20% - akcent 6 3 2 3 3 4 4" xfId="9097"/>
    <cellStyle name="20% - akcent 6 3 2 3 3 5" xfId="9098"/>
    <cellStyle name="20% - akcent 6 3 2 3 3 5 2" xfId="9099"/>
    <cellStyle name="20% - akcent 6 3 2 3 3 5 3" xfId="9100"/>
    <cellStyle name="20% - akcent 6 3 2 3 3 6" xfId="9101"/>
    <cellStyle name="20% - akcent 6 3 2 3 3 7" xfId="9102"/>
    <cellStyle name="20% - akcent 6 3 2 3 4" xfId="9103"/>
    <cellStyle name="20% - akcent 6 3 2 3 4 2" xfId="9104"/>
    <cellStyle name="20% - akcent 6 3 2 3 4 2 2" xfId="9105"/>
    <cellStyle name="20% - akcent 6 3 2 3 4 2 2 2" xfId="9106"/>
    <cellStyle name="20% - akcent 6 3 2 3 4 2 2 3" xfId="9107"/>
    <cellStyle name="20% - akcent 6 3 2 3 4 2 3" xfId="9108"/>
    <cellStyle name="20% - akcent 6 3 2 3 4 2 4" xfId="9109"/>
    <cellStyle name="20% - akcent 6 3 2 3 4 3" xfId="9110"/>
    <cellStyle name="20% - akcent 6 3 2 3 4 3 2" xfId="9111"/>
    <cellStyle name="20% - akcent 6 3 2 3 4 3 3" xfId="9112"/>
    <cellStyle name="20% - akcent 6 3 2 3 4 4" xfId="9113"/>
    <cellStyle name="20% - akcent 6 3 2 3 4 5" xfId="9114"/>
    <cellStyle name="20% - akcent 6 3 2 3 5" xfId="9115"/>
    <cellStyle name="20% - akcent 6 3 2 3 5 2" xfId="9116"/>
    <cellStyle name="20% - akcent 6 3 2 3 5 2 2" xfId="9117"/>
    <cellStyle name="20% - akcent 6 3 2 3 5 2 3" xfId="9118"/>
    <cellStyle name="20% - akcent 6 3 2 3 5 3" xfId="9119"/>
    <cellStyle name="20% - akcent 6 3 2 3 5 4" xfId="9120"/>
    <cellStyle name="20% - akcent 6 3 2 3 6" xfId="9121"/>
    <cellStyle name="20% - akcent 6 3 2 3 6 2" xfId="9122"/>
    <cellStyle name="20% - akcent 6 3 2 3 6 2 2" xfId="9123"/>
    <cellStyle name="20% - akcent 6 3 2 3 6 2 3" xfId="9124"/>
    <cellStyle name="20% - akcent 6 3 2 3 6 3" xfId="9125"/>
    <cellStyle name="20% - akcent 6 3 2 3 6 4" xfId="9126"/>
    <cellStyle name="20% - akcent 6 3 2 3 7" xfId="9127"/>
    <cellStyle name="20% - akcent 6 3 2 3 7 2" xfId="9128"/>
    <cellStyle name="20% - akcent 6 3 2 3 7 2 2" xfId="9129"/>
    <cellStyle name="20% - akcent 6 3 2 3 7 2 3" xfId="9130"/>
    <cellStyle name="20% - akcent 6 3 2 3 7 3" xfId="9131"/>
    <cellStyle name="20% - akcent 6 3 2 3 7 4" xfId="9132"/>
    <cellStyle name="20% - akcent 6 3 2 3 8" xfId="9133"/>
    <cellStyle name="20% - akcent 6 3 2 3 8 2" xfId="9134"/>
    <cellStyle name="20% - akcent 6 3 2 3 8 3" xfId="9135"/>
    <cellStyle name="20% - akcent 6 3 2 3 9" xfId="9136"/>
    <cellStyle name="20% - akcent 6 3 2 4" xfId="9137"/>
    <cellStyle name="20% - akcent 6 3 2 4 2" xfId="9138"/>
    <cellStyle name="20% - akcent 6 3 2 4 2 2" xfId="9139"/>
    <cellStyle name="20% - akcent 6 3 2 4 2 2 2" xfId="9140"/>
    <cellStyle name="20% - akcent 6 3 2 4 2 2 2 2" xfId="9141"/>
    <cellStyle name="20% - akcent 6 3 2 4 2 2 2 3" xfId="9142"/>
    <cellStyle name="20% - akcent 6 3 2 4 2 2 3" xfId="9143"/>
    <cellStyle name="20% - akcent 6 3 2 4 2 2 4" xfId="9144"/>
    <cellStyle name="20% - akcent 6 3 2 4 2 3" xfId="9145"/>
    <cellStyle name="20% - akcent 6 3 2 4 2 3 2" xfId="9146"/>
    <cellStyle name="20% - akcent 6 3 2 4 2 3 2 2" xfId="9147"/>
    <cellStyle name="20% - akcent 6 3 2 4 2 3 2 3" xfId="9148"/>
    <cellStyle name="20% - akcent 6 3 2 4 2 3 3" xfId="9149"/>
    <cellStyle name="20% - akcent 6 3 2 4 2 3 4" xfId="9150"/>
    <cellStyle name="20% - akcent 6 3 2 4 2 4" xfId="9151"/>
    <cellStyle name="20% - akcent 6 3 2 4 2 4 2" xfId="9152"/>
    <cellStyle name="20% - akcent 6 3 2 4 2 4 2 2" xfId="9153"/>
    <cellStyle name="20% - akcent 6 3 2 4 2 4 2 3" xfId="9154"/>
    <cellStyle name="20% - akcent 6 3 2 4 2 4 3" xfId="9155"/>
    <cellStyle name="20% - akcent 6 3 2 4 2 4 4" xfId="9156"/>
    <cellStyle name="20% - akcent 6 3 2 4 2 5" xfId="9157"/>
    <cellStyle name="20% - akcent 6 3 2 4 2 5 2" xfId="9158"/>
    <cellStyle name="20% - akcent 6 3 2 4 2 5 3" xfId="9159"/>
    <cellStyle name="20% - akcent 6 3 2 4 2 6" xfId="9160"/>
    <cellStyle name="20% - akcent 6 3 2 4 2 7" xfId="9161"/>
    <cellStyle name="20% - akcent 6 3 2 4 3" xfId="9162"/>
    <cellStyle name="20% - akcent 6 3 2 4 3 2" xfId="9163"/>
    <cellStyle name="20% - akcent 6 3 2 4 3 2 2" xfId="9164"/>
    <cellStyle name="20% - akcent 6 3 2 4 3 2 2 2" xfId="9165"/>
    <cellStyle name="20% - akcent 6 3 2 4 3 2 2 3" xfId="9166"/>
    <cellStyle name="20% - akcent 6 3 2 4 3 2 3" xfId="9167"/>
    <cellStyle name="20% - akcent 6 3 2 4 3 2 4" xfId="9168"/>
    <cellStyle name="20% - akcent 6 3 2 4 3 3" xfId="9169"/>
    <cellStyle name="20% - akcent 6 3 2 4 3 3 2" xfId="9170"/>
    <cellStyle name="20% - akcent 6 3 2 4 3 3 2 2" xfId="9171"/>
    <cellStyle name="20% - akcent 6 3 2 4 3 3 2 3" xfId="9172"/>
    <cellStyle name="20% - akcent 6 3 2 4 3 3 3" xfId="9173"/>
    <cellStyle name="20% - akcent 6 3 2 4 3 3 4" xfId="9174"/>
    <cellStyle name="20% - akcent 6 3 2 4 3 4" xfId="9175"/>
    <cellStyle name="20% - akcent 6 3 2 4 3 4 2" xfId="9176"/>
    <cellStyle name="20% - akcent 6 3 2 4 3 4 2 2" xfId="9177"/>
    <cellStyle name="20% - akcent 6 3 2 4 3 4 2 3" xfId="9178"/>
    <cellStyle name="20% - akcent 6 3 2 4 3 4 3" xfId="9179"/>
    <cellStyle name="20% - akcent 6 3 2 4 3 4 4" xfId="9180"/>
    <cellStyle name="20% - akcent 6 3 2 4 3 5" xfId="9181"/>
    <cellStyle name="20% - akcent 6 3 2 4 3 5 2" xfId="9182"/>
    <cellStyle name="20% - akcent 6 3 2 4 3 5 3" xfId="9183"/>
    <cellStyle name="20% - akcent 6 3 2 4 3 6" xfId="9184"/>
    <cellStyle name="20% - akcent 6 3 2 4 3 7" xfId="9185"/>
    <cellStyle name="20% - akcent 6 3 2 4 4" xfId="9186"/>
    <cellStyle name="20% - akcent 6 3 2 4 4 2" xfId="9187"/>
    <cellStyle name="20% - akcent 6 3 2 4 4 2 2" xfId="9188"/>
    <cellStyle name="20% - akcent 6 3 2 4 4 2 3" xfId="9189"/>
    <cellStyle name="20% - akcent 6 3 2 4 4 3" xfId="9190"/>
    <cellStyle name="20% - akcent 6 3 2 4 4 4" xfId="9191"/>
    <cellStyle name="20% - akcent 6 3 2 4 5" xfId="9192"/>
    <cellStyle name="20% - akcent 6 3 2 4 5 2" xfId="9193"/>
    <cellStyle name="20% - akcent 6 3 2 4 5 2 2" xfId="9194"/>
    <cellStyle name="20% - akcent 6 3 2 4 5 2 3" xfId="9195"/>
    <cellStyle name="20% - akcent 6 3 2 4 5 3" xfId="9196"/>
    <cellStyle name="20% - akcent 6 3 2 4 5 4" xfId="9197"/>
    <cellStyle name="20% - akcent 6 3 2 4 6" xfId="9198"/>
    <cellStyle name="20% - akcent 6 3 2 4 6 2" xfId="9199"/>
    <cellStyle name="20% - akcent 6 3 2 4 6 2 2" xfId="9200"/>
    <cellStyle name="20% - akcent 6 3 2 4 6 2 3" xfId="9201"/>
    <cellStyle name="20% - akcent 6 3 2 4 6 3" xfId="9202"/>
    <cellStyle name="20% - akcent 6 3 2 4 6 4" xfId="9203"/>
    <cellStyle name="20% - akcent 6 3 2 4 7" xfId="9204"/>
    <cellStyle name="20% - akcent 6 3 2 4 7 2" xfId="9205"/>
    <cellStyle name="20% - akcent 6 3 2 4 7 3" xfId="9206"/>
    <cellStyle name="20% - akcent 6 3 2 4 8" xfId="9207"/>
    <cellStyle name="20% - akcent 6 3 2 4 9" xfId="9208"/>
    <cellStyle name="20% - akcent 6 3 2 5" xfId="9209"/>
    <cellStyle name="20% - akcent 6 3 2 5 2" xfId="9210"/>
    <cellStyle name="20% - akcent 6 3 2 5 2 2" xfId="9211"/>
    <cellStyle name="20% - akcent 6 3 2 5 2 2 2" xfId="9212"/>
    <cellStyle name="20% - akcent 6 3 2 5 2 2 3" xfId="9213"/>
    <cellStyle name="20% - akcent 6 3 2 5 2 3" xfId="9214"/>
    <cellStyle name="20% - akcent 6 3 2 5 2 4" xfId="9215"/>
    <cellStyle name="20% - akcent 6 3 2 5 3" xfId="9216"/>
    <cellStyle name="20% - akcent 6 3 2 5 3 2" xfId="9217"/>
    <cellStyle name="20% - akcent 6 3 2 5 3 2 2" xfId="9218"/>
    <cellStyle name="20% - akcent 6 3 2 5 3 2 3" xfId="9219"/>
    <cellStyle name="20% - akcent 6 3 2 5 3 3" xfId="9220"/>
    <cellStyle name="20% - akcent 6 3 2 5 3 4" xfId="9221"/>
    <cellStyle name="20% - akcent 6 3 2 5 4" xfId="9222"/>
    <cellStyle name="20% - akcent 6 3 2 5 4 2" xfId="9223"/>
    <cellStyle name="20% - akcent 6 3 2 5 4 2 2" xfId="9224"/>
    <cellStyle name="20% - akcent 6 3 2 5 4 2 3" xfId="9225"/>
    <cellStyle name="20% - akcent 6 3 2 5 4 3" xfId="9226"/>
    <cellStyle name="20% - akcent 6 3 2 5 4 4" xfId="9227"/>
    <cellStyle name="20% - akcent 6 3 2 5 5" xfId="9228"/>
    <cellStyle name="20% - akcent 6 3 2 5 5 2" xfId="9229"/>
    <cellStyle name="20% - akcent 6 3 2 5 5 3" xfId="9230"/>
    <cellStyle name="20% - akcent 6 3 2 5 6" xfId="9231"/>
    <cellStyle name="20% - akcent 6 3 2 5 7" xfId="9232"/>
    <cellStyle name="20% - akcent 6 3 2 6" xfId="9233"/>
    <cellStyle name="20% - akcent 6 3 2 6 2" xfId="9234"/>
    <cellStyle name="20% - akcent 6 3 2 6 2 2" xfId="9235"/>
    <cellStyle name="20% - akcent 6 3 2 6 2 2 2" xfId="9236"/>
    <cellStyle name="20% - akcent 6 3 2 6 2 2 3" xfId="9237"/>
    <cellStyle name="20% - akcent 6 3 2 6 2 3" xfId="9238"/>
    <cellStyle name="20% - akcent 6 3 2 6 2 4" xfId="9239"/>
    <cellStyle name="20% - akcent 6 3 2 6 3" xfId="9240"/>
    <cellStyle name="20% - akcent 6 3 2 6 3 2" xfId="9241"/>
    <cellStyle name="20% - akcent 6 3 2 6 3 2 2" xfId="9242"/>
    <cellStyle name="20% - akcent 6 3 2 6 3 2 3" xfId="9243"/>
    <cellStyle name="20% - akcent 6 3 2 6 3 3" xfId="9244"/>
    <cellStyle name="20% - akcent 6 3 2 6 3 4" xfId="9245"/>
    <cellStyle name="20% - akcent 6 3 2 6 4" xfId="9246"/>
    <cellStyle name="20% - akcent 6 3 2 6 4 2" xfId="9247"/>
    <cellStyle name="20% - akcent 6 3 2 6 4 2 2" xfId="9248"/>
    <cellStyle name="20% - akcent 6 3 2 6 4 2 3" xfId="9249"/>
    <cellStyle name="20% - akcent 6 3 2 6 4 3" xfId="9250"/>
    <cellStyle name="20% - akcent 6 3 2 6 4 4" xfId="9251"/>
    <cellStyle name="20% - akcent 6 3 2 6 5" xfId="9252"/>
    <cellStyle name="20% - akcent 6 3 2 6 5 2" xfId="9253"/>
    <cellStyle name="20% - akcent 6 3 2 6 5 3" xfId="9254"/>
    <cellStyle name="20% - akcent 6 3 2 6 6" xfId="9255"/>
    <cellStyle name="20% - akcent 6 3 2 6 7" xfId="9256"/>
    <cellStyle name="20% - akcent 6 3 2 7" xfId="9257"/>
    <cellStyle name="20% - akcent 6 3 2 7 2" xfId="9258"/>
    <cellStyle name="20% - akcent 6 3 2 7 2 2" xfId="9259"/>
    <cellStyle name="20% - akcent 6 3 2 7 2 2 2" xfId="9260"/>
    <cellStyle name="20% - akcent 6 3 2 7 2 2 3" xfId="9261"/>
    <cellStyle name="20% - akcent 6 3 2 7 2 3" xfId="9262"/>
    <cellStyle name="20% - akcent 6 3 2 7 2 4" xfId="9263"/>
    <cellStyle name="20% - akcent 6 3 2 7 3" xfId="9264"/>
    <cellStyle name="20% - akcent 6 3 2 7 3 2" xfId="9265"/>
    <cellStyle name="20% - akcent 6 3 2 7 3 3" xfId="9266"/>
    <cellStyle name="20% - akcent 6 3 2 7 4" xfId="9267"/>
    <cellStyle name="20% - akcent 6 3 2 7 5" xfId="9268"/>
    <cellStyle name="20% - akcent 6 3 2 8" xfId="9269"/>
    <cellStyle name="20% - akcent 6 3 2 8 2" xfId="9270"/>
    <cellStyle name="20% - akcent 6 3 2 8 2 2" xfId="9271"/>
    <cellStyle name="20% - akcent 6 3 2 8 2 3" xfId="9272"/>
    <cellStyle name="20% - akcent 6 3 2 8 3" xfId="9273"/>
    <cellStyle name="20% - akcent 6 3 2 8 4" xfId="9274"/>
    <cellStyle name="20% - akcent 6 3 2 9" xfId="9275"/>
    <cellStyle name="20% - akcent 6 3 2 9 2" xfId="9276"/>
    <cellStyle name="20% - akcent 6 3 2 9 2 2" xfId="9277"/>
    <cellStyle name="20% - akcent 6 3 2 9 2 3" xfId="9278"/>
    <cellStyle name="20% - akcent 6 3 2 9 3" xfId="9279"/>
    <cellStyle name="20% - akcent 6 3 2 9 4" xfId="9280"/>
    <cellStyle name="20% - akcent 6 3 3" xfId="9281"/>
    <cellStyle name="20% - akcent 6 3 3 10" xfId="9282"/>
    <cellStyle name="20% - akcent 6 3 3 11" xfId="9283"/>
    <cellStyle name="20% - akcent 6 3 3 2" xfId="9284"/>
    <cellStyle name="20% - akcent 6 3 3 2 10" xfId="9285"/>
    <cellStyle name="20% - akcent 6 3 3 2 2" xfId="9286"/>
    <cellStyle name="20% - akcent 6 3 3 2 2 2" xfId="9287"/>
    <cellStyle name="20% - akcent 6 3 3 2 2 2 2" xfId="9288"/>
    <cellStyle name="20% - akcent 6 3 3 2 2 2 2 2" xfId="9289"/>
    <cellStyle name="20% - akcent 6 3 3 2 2 2 2 3" xfId="9290"/>
    <cellStyle name="20% - akcent 6 3 3 2 2 2 3" xfId="9291"/>
    <cellStyle name="20% - akcent 6 3 3 2 2 2 4" xfId="9292"/>
    <cellStyle name="20% - akcent 6 3 3 2 2 3" xfId="9293"/>
    <cellStyle name="20% - akcent 6 3 3 2 2 3 2" xfId="9294"/>
    <cellStyle name="20% - akcent 6 3 3 2 2 3 2 2" xfId="9295"/>
    <cellStyle name="20% - akcent 6 3 3 2 2 3 2 3" xfId="9296"/>
    <cellStyle name="20% - akcent 6 3 3 2 2 3 3" xfId="9297"/>
    <cellStyle name="20% - akcent 6 3 3 2 2 3 4" xfId="9298"/>
    <cellStyle name="20% - akcent 6 3 3 2 2 4" xfId="9299"/>
    <cellStyle name="20% - akcent 6 3 3 2 2 4 2" xfId="9300"/>
    <cellStyle name="20% - akcent 6 3 3 2 2 4 2 2" xfId="9301"/>
    <cellStyle name="20% - akcent 6 3 3 2 2 4 2 3" xfId="9302"/>
    <cellStyle name="20% - akcent 6 3 3 2 2 4 3" xfId="9303"/>
    <cellStyle name="20% - akcent 6 3 3 2 2 4 4" xfId="9304"/>
    <cellStyle name="20% - akcent 6 3 3 2 2 5" xfId="9305"/>
    <cellStyle name="20% - akcent 6 3 3 2 2 5 2" xfId="9306"/>
    <cellStyle name="20% - akcent 6 3 3 2 2 5 3" xfId="9307"/>
    <cellStyle name="20% - akcent 6 3 3 2 2 6" xfId="9308"/>
    <cellStyle name="20% - akcent 6 3 3 2 2 7" xfId="9309"/>
    <cellStyle name="20% - akcent 6 3 3 2 3" xfId="9310"/>
    <cellStyle name="20% - akcent 6 3 3 2 3 2" xfId="9311"/>
    <cellStyle name="20% - akcent 6 3 3 2 3 2 2" xfId="9312"/>
    <cellStyle name="20% - akcent 6 3 3 2 3 2 2 2" xfId="9313"/>
    <cellStyle name="20% - akcent 6 3 3 2 3 2 2 3" xfId="9314"/>
    <cellStyle name="20% - akcent 6 3 3 2 3 2 3" xfId="9315"/>
    <cellStyle name="20% - akcent 6 3 3 2 3 2 4" xfId="9316"/>
    <cellStyle name="20% - akcent 6 3 3 2 3 3" xfId="9317"/>
    <cellStyle name="20% - akcent 6 3 3 2 3 3 2" xfId="9318"/>
    <cellStyle name="20% - akcent 6 3 3 2 3 3 2 2" xfId="9319"/>
    <cellStyle name="20% - akcent 6 3 3 2 3 3 2 3" xfId="9320"/>
    <cellStyle name="20% - akcent 6 3 3 2 3 3 3" xfId="9321"/>
    <cellStyle name="20% - akcent 6 3 3 2 3 3 4" xfId="9322"/>
    <cellStyle name="20% - akcent 6 3 3 2 3 4" xfId="9323"/>
    <cellStyle name="20% - akcent 6 3 3 2 3 4 2" xfId="9324"/>
    <cellStyle name="20% - akcent 6 3 3 2 3 4 2 2" xfId="9325"/>
    <cellStyle name="20% - akcent 6 3 3 2 3 4 2 3" xfId="9326"/>
    <cellStyle name="20% - akcent 6 3 3 2 3 4 3" xfId="9327"/>
    <cellStyle name="20% - akcent 6 3 3 2 3 4 4" xfId="9328"/>
    <cellStyle name="20% - akcent 6 3 3 2 3 5" xfId="9329"/>
    <cellStyle name="20% - akcent 6 3 3 2 3 5 2" xfId="9330"/>
    <cellStyle name="20% - akcent 6 3 3 2 3 5 3" xfId="9331"/>
    <cellStyle name="20% - akcent 6 3 3 2 3 6" xfId="9332"/>
    <cellStyle name="20% - akcent 6 3 3 2 3 7" xfId="9333"/>
    <cellStyle name="20% - akcent 6 3 3 2 4" xfId="9334"/>
    <cellStyle name="20% - akcent 6 3 3 2 4 2" xfId="9335"/>
    <cellStyle name="20% - akcent 6 3 3 2 4 2 2" xfId="9336"/>
    <cellStyle name="20% - akcent 6 3 3 2 4 2 2 2" xfId="9337"/>
    <cellStyle name="20% - akcent 6 3 3 2 4 2 2 3" xfId="9338"/>
    <cellStyle name="20% - akcent 6 3 3 2 4 2 3" xfId="9339"/>
    <cellStyle name="20% - akcent 6 3 3 2 4 2 4" xfId="9340"/>
    <cellStyle name="20% - akcent 6 3 3 2 4 3" xfId="9341"/>
    <cellStyle name="20% - akcent 6 3 3 2 4 3 2" xfId="9342"/>
    <cellStyle name="20% - akcent 6 3 3 2 4 3 3" xfId="9343"/>
    <cellStyle name="20% - akcent 6 3 3 2 4 4" xfId="9344"/>
    <cellStyle name="20% - akcent 6 3 3 2 4 5" xfId="9345"/>
    <cellStyle name="20% - akcent 6 3 3 2 5" xfId="9346"/>
    <cellStyle name="20% - akcent 6 3 3 2 5 2" xfId="9347"/>
    <cellStyle name="20% - akcent 6 3 3 2 5 2 2" xfId="9348"/>
    <cellStyle name="20% - akcent 6 3 3 2 5 2 3" xfId="9349"/>
    <cellStyle name="20% - akcent 6 3 3 2 5 3" xfId="9350"/>
    <cellStyle name="20% - akcent 6 3 3 2 5 4" xfId="9351"/>
    <cellStyle name="20% - akcent 6 3 3 2 6" xfId="9352"/>
    <cellStyle name="20% - akcent 6 3 3 2 6 2" xfId="9353"/>
    <cellStyle name="20% - akcent 6 3 3 2 6 2 2" xfId="9354"/>
    <cellStyle name="20% - akcent 6 3 3 2 6 2 3" xfId="9355"/>
    <cellStyle name="20% - akcent 6 3 3 2 6 3" xfId="9356"/>
    <cellStyle name="20% - akcent 6 3 3 2 6 4" xfId="9357"/>
    <cellStyle name="20% - akcent 6 3 3 2 7" xfId="9358"/>
    <cellStyle name="20% - akcent 6 3 3 2 7 2" xfId="9359"/>
    <cellStyle name="20% - akcent 6 3 3 2 7 2 2" xfId="9360"/>
    <cellStyle name="20% - akcent 6 3 3 2 7 2 3" xfId="9361"/>
    <cellStyle name="20% - akcent 6 3 3 2 7 3" xfId="9362"/>
    <cellStyle name="20% - akcent 6 3 3 2 7 4" xfId="9363"/>
    <cellStyle name="20% - akcent 6 3 3 2 8" xfId="9364"/>
    <cellStyle name="20% - akcent 6 3 3 2 8 2" xfId="9365"/>
    <cellStyle name="20% - akcent 6 3 3 2 8 3" xfId="9366"/>
    <cellStyle name="20% - akcent 6 3 3 2 9" xfId="9367"/>
    <cellStyle name="20% - akcent 6 3 3 3" xfId="9368"/>
    <cellStyle name="20% - akcent 6 3 3 3 2" xfId="9369"/>
    <cellStyle name="20% - akcent 6 3 3 3 2 2" xfId="9370"/>
    <cellStyle name="20% - akcent 6 3 3 3 2 2 2" xfId="9371"/>
    <cellStyle name="20% - akcent 6 3 3 3 2 2 3" xfId="9372"/>
    <cellStyle name="20% - akcent 6 3 3 3 2 3" xfId="9373"/>
    <cellStyle name="20% - akcent 6 3 3 3 2 4" xfId="9374"/>
    <cellStyle name="20% - akcent 6 3 3 3 3" xfId="9375"/>
    <cellStyle name="20% - akcent 6 3 3 3 3 2" xfId="9376"/>
    <cellStyle name="20% - akcent 6 3 3 3 3 2 2" xfId="9377"/>
    <cellStyle name="20% - akcent 6 3 3 3 3 2 3" xfId="9378"/>
    <cellStyle name="20% - akcent 6 3 3 3 3 3" xfId="9379"/>
    <cellStyle name="20% - akcent 6 3 3 3 3 4" xfId="9380"/>
    <cellStyle name="20% - akcent 6 3 3 3 4" xfId="9381"/>
    <cellStyle name="20% - akcent 6 3 3 3 4 2" xfId="9382"/>
    <cellStyle name="20% - akcent 6 3 3 3 4 2 2" xfId="9383"/>
    <cellStyle name="20% - akcent 6 3 3 3 4 2 3" xfId="9384"/>
    <cellStyle name="20% - akcent 6 3 3 3 4 3" xfId="9385"/>
    <cellStyle name="20% - akcent 6 3 3 3 4 4" xfId="9386"/>
    <cellStyle name="20% - akcent 6 3 3 3 5" xfId="9387"/>
    <cellStyle name="20% - akcent 6 3 3 3 5 2" xfId="9388"/>
    <cellStyle name="20% - akcent 6 3 3 3 5 3" xfId="9389"/>
    <cellStyle name="20% - akcent 6 3 3 3 6" xfId="9390"/>
    <cellStyle name="20% - akcent 6 3 3 3 7" xfId="9391"/>
    <cellStyle name="20% - akcent 6 3 3 4" xfId="9392"/>
    <cellStyle name="20% - akcent 6 3 3 4 2" xfId="9393"/>
    <cellStyle name="20% - akcent 6 3 3 4 2 2" xfId="9394"/>
    <cellStyle name="20% - akcent 6 3 3 4 2 2 2" xfId="9395"/>
    <cellStyle name="20% - akcent 6 3 3 4 2 2 3" xfId="9396"/>
    <cellStyle name="20% - akcent 6 3 3 4 2 3" xfId="9397"/>
    <cellStyle name="20% - akcent 6 3 3 4 2 4" xfId="9398"/>
    <cellStyle name="20% - akcent 6 3 3 4 3" xfId="9399"/>
    <cellStyle name="20% - akcent 6 3 3 4 3 2" xfId="9400"/>
    <cellStyle name="20% - akcent 6 3 3 4 3 2 2" xfId="9401"/>
    <cellStyle name="20% - akcent 6 3 3 4 3 2 3" xfId="9402"/>
    <cellStyle name="20% - akcent 6 3 3 4 3 3" xfId="9403"/>
    <cellStyle name="20% - akcent 6 3 3 4 3 4" xfId="9404"/>
    <cellStyle name="20% - akcent 6 3 3 4 4" xfId="9405"/>
    <cellStyle name="20% - akcent 6 3 3 4 4 2" xfId="9406"/>
    <cellStyle name="20% - akcent 6 3 3 4 4 2 2" xfId="9407"/>
    <cellStyle name="20% - akcent 6 3 3 4 4 2 3" xfId="9408"/>
    <cellStyle name="20% - akcent 6 3 3 4 4 3" xfId="9409"/>
    <cellStyle name="20% - akcent 6 3 3 4 4 4" xfId="9410"/>
    <cellStyle name="20% - akcent 6 3 3 4 5" xfId="9411"/>
    <cellStyle name="20% - akcent 6 3 3 4 5 2" xfId="9412"/>
    <cellStyle name="20% - akcent 6 3 3 4 5 3" xfId="9413"/>
    <cellStyle name="20% - akcent 6 3 3 4 6" xfId="9414"/>
    <cellStyle name="20% - akcent 6 3 3 4 7" xfId="9415"/>
    <cellStyle name="20% - akcent 6 3 3 5" xfId="9416"/>
    <cellStyle name="20% - akcent 6 3 3 5 2" xfId="9417"/>
    <cellStyle name="20% - akcent 6 3 3 5 2 2" xfId="9418"/>
    <cellStyle name="20% - akcent 6 3 3 5 2 2 2" xfId="9419"/>
    <cellStyle name="20% - akcent 6 3 3 5 2 2 3" xfId="9420"/>
    <cellStyle name="20% - akcent 6 3 3 5 2 3" xfId="9421"/>
    <cellStyle name="20% - akcent 6 3 3 5 2 4" xfId="9422"/>
    <cellStyle name="20% - akcent 6 3 3 5 3" xfId="9423"/>
    <cellStyle name="20% - akcent 6 3 3 5 3 2" xfId="9424"/>
    <cellStyle name="20% - akcent 6 3 3 5 3 3" xfId="9425"/>
    <cellStyle name="20% - akcent 6 3 3 5 4" xfId="9426"/>
    <cellStyle name="20% - akcent 6 3 3 5 5" xfId="9427"/>
    <cellStyle name="20% - akcent 6 3 3 6" xfId="9428"/>
    <cellStyle name="20% - akcent 6 3 3 6 2" xfId="9429"/>
    <cellStyle name="20% - akcent 6 3 3 6 2 2" xfId="9430"/>
    <cellStyle name="20% - akcent 6 3 3 6 2 3" xfId="9431"/>
    <cellStyle name="20% - akcent 6 3 3 6 3" xfId="9432"/>
    <cellStyle name="20% - akcent 6 3 3 6 4" xfId="9433"/>
    <cellStyle name="20% - akcent 6 3 3 7" xfId="9434"/>
    <cellStyle name="20% - akcent 6 3 3 7 2" xfId="9435"/>
    <cellStyle name="20% - akcent 6 3 3 7 2 2" xfId="9436"/>
    <cellStyle name="20% - akcent 6 3 3 7 2 3" xfId="9437"/>
    <cellStyle name="20% - akcent 6 3 3 7 3" xfId="9438"/>
    <cellStyle name="20% - akcent 6 3 3 7 4" xfId="9439"/>
    <cellStyle name="20% - akcent 6 3 3 8" xfId="9440"/>
    <cellStyle name="20% - akcent 6 3 3 8 2" xfId="9441"/>
    <cellStyle name="20% - akcent 6 3 3 8 2 2" xfId="9442"/>
    <cellStyle name="20% - akcent 6 3 3 8 2 3" xfId="9443"/>
    <cellStyle name="20% - akcent 6 3 3 8 3" xfId="9444"/>
    <cellStyle name="20% - akcent 6 3 3 8 4" xfId="9445"/>
    <cellStyle name="20% - akcent 6 3 3 9" xfId="9446"/>
    <cellStyle name="20% - akcent 6 3 3 9 2" xfId="9447"/>
    <cellStyle name="20% - akcent 6 3 3 9 3" xfId="9448"/>
    <cellStyle name="20% - akcent 6 3 4" xfId="9449"/>
    <cellStyle name="20% - akcent 6 3 4 10" xfId="9450"/>
    <cellStyle name="20% - akcent 6 3 4 2" xfId="9451"/>
    <cellStyle name="20% - akcent 6 3 4 2 2" xfId="9452"/>
    <cellStyle name="20% - akcent 6 3 4 2 2 2" xfId="9453"/>
    <cellStyle name="20% - akcent 6 3 4 2 2 2 2" xfId="9454"/>
    <cellStyle name="20% - akcent 6 3 4 2 2 2 3" xfId="9455"/>
    <cellStyle name="20% - akcent 6 3 4 2 2 3" xfId="9456"/>
    <cellStyle name="20% - akcent 6 3 4 2 2 4" xfId="9457"/>
    <cellStyle name="20% - akcent 6 3 4 2 3" xfId="9458"/>
    <cellStyle name="20% - akcent 6 3 4 2 3 2" xfId="9459"/>
    <cellStyle name="20% - akcent 6 3 4 2 3 2 2" xfId="9460"/>
    <cellStyle name="20% - akcent 6 3 4 2 3 2 3" xfId="9461"/>
    <cellStyle name="20% - akcent 6 3 4 2 3 3" xfId="9462"/>
    <cellStyle name="20% - akcent 6 3 4 2 3 4" xfId="9463"/>
    <cellStyle name="20% - akcent 6 3 4 2 4" xfId="9464"/>
    <cellStyle name="20% - akcent 6 3 4 2 4 2" xfId="9465"/>
    <cellStyle name="20% - akcent 6 3 4 2 4 2 2" xfId="9466"/>
    <cellStyle name="20% - akcent 6 3 4 2 4 2 3" xfId="9467"/>
    <cellStyle name="20% - akcent 6 3 4 2 4 3" xfId="9468"/>
    <cellStyle name="20% - akcent 6 3 4 2 4 4" xfId="9469"/>
    <cellStyle name="20% - akcent 6 3 4 2 5" xfId="9470"/>
    <cellStyle name="20% - akcent 6 3 4 2 5 2" xfId="9471"/>
    <cellStyle name="20% - akcent 6 3 4 2 5 3" xfId="9472"/>
    <cellStyle name="20% - akcent 6 3 4 2 6" xfId="9473"/>
    <cellStyle name="20% - akcent 6 3 4 2 7" xfId="9474"/>
    <cellStyle name="20% - akcent 6 3 4 3" xfId="9475"/>
    <cellStyle name="20% - akcent 6 3 4 3 2" xfId="9476"/>
    <cellStyle name="20% - akcent 6 3 4 3 2 2" xfId="9477"/>
    <cellStyle name="20% - akcent 6 3 4 3 2 2 2" xfId="9478"/>
    <cellStyle name="20% - akcent 6 3 4 3 2 2 3" xfId="9479"/>
    <cellStyle name="20% - akcent 6 3 4 3 2 3" xfId="9480"/>
    <cellStyle name="20% - akcent 6 3 4 3 2 4" xfId="9481"/>
    <cellStyle name="20% - akcent 6 3 4 3 3" xfId="9482"/>
    <cellStyle name="20% - akcent 6 3 4 3 3 2" xfId="9483"/>
    <cellStyle name="20% - akcent 6 3 4 3 3 2 2" xfId="9484"/>
    <cellStyle name="20% - akcent 6 3 4 3 3 2 3" xfId="9485"/>
    <cellStyle name="20% - akcent 6 3 4 3 3 3" xfId="9486"/>
    <cellStyle name="20% - akcent 6 3 4 3 3 4" xfId="9487"/>
    <cellStyle name="20% - akcent 6 3 4 3 4" xfId="9488"/>
    <cellStyle name="20% - akcent 6 3 4 3 4 2" xfId="9489"/>
    <cellStyle name="20% - akcent 6 3 4 3 4 2 2" xfId="9490"/>
    <cellStyle name="20% - akcent 6 3 4 3 4 2 3" xfId="9491"/>
    <cellStyle name="20% - akcent 6 3 4 3 4 3" xfId="9492"/>
    <cellStyle name="20% - akcent 6 3 4 3 4 4" xfId="9493"/>
    <cellStyle name="20% - akcent 6 3 4 3 5" xfId="9494"/>
    <cellStyle name="20% - akcent 6 3 4 3 5 2" xfId="9495"/>
    <cellStyle name="20% - akcent 6 3 4 3 5 3" xfId="9496"/>
    <cellStyle name="20% - akcent 6 3 4 3 6" xfId="9497"/>
    <cellStyle name="20% - akcent 6 3 4 3 7" xfId="9498"/>
    <cellStyle name="20% - akcent 6 3 4 4" xfId="9499"/>
    <cellStyle name="20% - akcent 6 3 4 4 2" xfId="9500"/>
    <cellStyle name="20% - akcent 6 3 4 4 2 2" xfId="9501"/>
    <cellStyle name="20% - akcent 6 3 4 4 2 2 2" xfId="9502"/>
    <cellStyle name="20% - akcent 6 3 4 4 2 2 3" xfId="9503"/>
    <cellStyle name="20% - akcent 6 3 4 4 2 3" xfId="9504"/>
    <cellStyle name="20% - akcent 6 3 4 4 2 4" xfId="9505"/>
    <cellStyle name="20% - akcent 6 3 4 4 3" xfId="9506"/>
    <cellStyle name="20% - akcent 6 3 4 4 3 2" xfId="9507"/>
    <cellStyle name="20% - akcent 6 3 4 4 3 3" xfId="9508"/>
    <cellStyle name="20% - akcent 6 3 4 4 4" xfId="9509"/>
    <cellStyle name="20% - akcent 6 3 4 4 5" xfId="9510"/>
    <cellStyle name="20% - akcent 6 3 4 5" xfId="9511"/>
    <cellStyle name="20% - akcent 6 3 4 5 2" xfId="9512"/>
    <cellStyle name="20% - akcent 6 3 4 5 2 2" xfId="9513"/>
    <cellStyle name="20% - akcent 6 3 4 5 2 3" xfId="9514"/>
    <cellStyle name="20% - akcent 6 3 4 5 3" xfId="9515"/>
    <cellStyle name="20% - akcent 6 3 4 5 4" xfId="9516"/>
    <cellStyle name="20% - akcent 6 3 4 6" xfId="9517"/>
    <cellStyle name="20% - akcent 6 3 4 6 2" xfId="9518"/>
    <cellStyle name="20% - akcent 6 3 4 6 2 2" xfId="9519"/>
    <cellStyle name="20% - akcent 6 3 4 6 2 3" xfId="9520"/>
    <cellStyle name="20% - akcent 6 3 4 6 3" xfId="9521"/>
    <cellStyle name="20% - akcent 6 3 4 6 4" xfId="9522"/>
    <cellStyle name="20% - akcent 6 3 4 7" xfId="9523"/>
    <cellStyle name="20% - akcent 6 3 4 7 2" xfId="9524"/>
    <cellStyle name="20% - akcent 6 3 4 7 2 2" xfId="9525"/>
    <cellStyle name="20% - akcent 6 3 4 7 2 3" xfId="9526"/>
    <cellStyle name="20% - akcent 6 3 4 7 3" xfId="9527"/>
    <cellStyle name="20% - akcent 6 3 4 7 4" xfId="9528"/>
    <cellStyle name="20% - akcent 6 3 4 8" xfId="9529"/>
    <cellStyle name="20% - akcent 6 3 4 8 2" xfId="9530"/>
    <cellStyle name="20% - akcent 6 3 4 8 3" xfId="9531"/>
    <cellStyle name="20% - akcent 6 3 4 9" xfId="9532"/>
    <cellStyle name="20% - akcent 6 3 5" xfId="9533"/>
    <cellStyle name="20% - akcent 6 3 5 2" xfId="9534"/>
    <cellStyle name="20% - akcent 6 3 5 2 2" xfId="9535"/>
    <cellStyle name="20% - akcent 6 3 5 2 2 2" xfId="9536"/>
    <cellStyle name="20% - akcent 6 3 5 2 2 2 2" xfId="9537"/>
    <cellStyle name="20% - akcent 6 3 5 2 2 2 3" xfId="9538"/>
    <cellStyle name="20% - akcent 6 3 5 2 2 3" xfId="9539"/>
    <cellStyle name="20% - akcent 6 3 5 2 2 4" xfId="9540"/>
    <cellStyle name="20% - akcent 6 3 5 2 3" xfId="9541"/>
    <cellStyle name="20% - akcent 6 3 5 2 3 2" xfId="9542"/>
    <cellStyle name="20% - akcent 6 3 5 2 3 2 2" xfId="9543"/>
    <cellStyle name="20% - akcent 6 3 5 2 3 2 3" xfId="9544"/>
    <cellStyle name="20% - akcent 6 3 5 2 3 3" xfId="9545"/>
    <cellStyle name="20% - akcent 6 3 5 2 3 4" xfId="9546"/>
    <cellStyle name="20% - akcent 6 3 5 2 4" xfId="9547"/>
    <cellStyle name="20% - akcent 6 3 5 2 4 2" xfId="9548"/>
    <cellStyle name="20% - akcent 6 3 5 2 4 2 2" xfId="9549"/>
    <cellStyle name="20% - akcent 6 3 5 2 4 2 3" xfId="9550"/>
    <cellStyle name="20% - akcent 6 3 5 2 4 3" xfId="9551"/>
    <cellStyle name="20% - akcent 6 3 5 2 4 4" xfId="9552"/>
    <cellStyle name="20% - akcent 6 3 5 2 5" xfId="9553"/>
    <cellStyle name="20% - akcent 6 3 5 2 5 2" xfId="9554"/>
    <cellStyle name="20% - akcent 6 3 5 2 5 3" xfId="9555"/>
    <cellStyle name="20% - akcent 6 3 5 2 6" xfId="9556"/>
    <cellStyle name="20% - akcent 6 3 5 2 7" xfId="9557"/>
    <cellStyle name="20% - akcent 6 3 5 3" xfId="9558"/>
    <cellStyle name="20% - akcent 6 3 5 3 2" xfId="9559"/>
    <cellStyle name="20% - akcent 6 3 5 3 2 2" xfId="9560"/>
    <cellStyle name="20% - akcent 6 3 5 3 2 2 2" xfId="9561"/>
    <cellStyle name="20% - akcent 6 3 5 3 2 2 3" xfId="9562"/>
    <cellStyle name="20% - akcent 6 3 5 3 2 3" xfId="9563"/>
    <cellStyle name="20% - akcent 6 3 5 3 2 4" xfId="9564"/>
    <cellStyle name="20% - akcent 6 3 5 3 3" xfId="9565"/>
    <cellStyle name="20% - akcent 6 3 5 3 3 2" xfId="9566"/>
    <cellStyle name="20% - akcent 6 3 5 3 3 2 2" xfId="9567"/>
    <cellStyle name="20% - akcent 6 3 5 3 3 2 3" xfId="9568"/>
    <cellStyle name="20% - akcent 6 3 5 3 3 3" xfId="9569"/>
    <cellStyle name="20% - akcent 6 3 5 3 3 4" xfId="9570"/>
    <cellStyle name="20% - akcent 6 3 5 3 4" xfId="9571"/>
    <cellStyle name="20% - akcent 6 3 5 3 4 2" xfId="9572"/>
    <cellStyle name="20% - akcent 6 3 5 3 4 2 2" xfId="9573"/>
    <cellStyle name="20% - akcent 6 3 5 3 4 2 3" xfId="9574"/>
    <cellStyle name="20% - akcent 6 3 5 3 4 3" xfId="9575"/>
    <cellStyle name="20% - akcent 6 3 5 3 4 4" xfId="9576"/>
    <cellStyle name="20% - akcent 6 3 5 3 5" xfId="9577"/>
    <cellStyle name="20% - akcent 6 3 5 3 5 2" xfId="9578"/>
    <cellStyle name="20% - akcent 6 3 5 3 5 3" xfId="9579"/>
    <cellStyle name="20% - akcent 6 3 5 3 6" xfId="9580"/>
    <cellStyle name="20% - akcent 6 3 5 3 7" xfId="9581"/>
    <cellStyle name="20% - akcent 6 3 5 4" xfId="9582"/>
    <cellStyle name="20% - akcent 6 3 5 4 2" xfId="9583"/>
    <cellStyle name="20% - akcent 6 3 5 4 2 2" xfId="9584"/>
    <cellStyle name="20% - akcent 6 3 5 4 2 3" xfId="9585"/>
    <cellStyle name="20% - akcent 6 3 5 4 3" xfId="9586"/>
    <cellStyle name="20% - akcent 6 3 5 4 4" xfId="9587"/>
    <cellStyle name="20% - akcent 6 3 5 5" xfId="9588"/>
    <cellStyle name="20% - akcent 6 3 5 5 2" xfId="9589"/>
    <cellStyle name="20% - akcent 6 3 5 5 2 2" xfId="9590"/>
    <cellStyle name="20% - akcent 6 3 5 5 2 3" xfId="9591"/>
    <cellStyle name="20% - akcent 6 3 5 5 3" xfId="9592"/>
    <cellStyle name="20% - akcent 6 3 5 5 4" xfId="9593"/>
    <cellStyle name="20% - akcent 6 3 5 6" xfId="9594"/>
    <cellStyle name="20% - akcent 6 3 5 6 2" xfId="9595"/>
    <cellStyle name="20% - akcent 6 3 5 6 2 2" xfId="9596"/>
    <cellStyle name="20% - akcent 6 3 5 6 2 3" xfId="9597"/>
    <cellStyle name="20% - akcent 6 3 5 6 3" xfId="9598"/>
    <cellStyle name="20% - akcent 6 3 5 6 4" xfId="9599"/>
    <cellStyle name="20% - akcent 6 3 5 7" xfId="9600"/>
    <cellStyle name="20% - akcent 6 3 5 7 2" xfId="9601"/>
    <cellStyle name="20% - akcent 6 3 5 7 3" xfId="9602"/>
    <cellStyle name="20% - akcent 6 3 5 8" xfId="9603"/>
    <cellStyle name="20% - akcent 6 3 5 9" xfId="9604"/>
    <cellStyle name="20% - akcent 6 3 6" xfId="9605"/>
    <cellStyle name="20% - akcent 6 3 6 2" xfId="9606"/>
    <cellStyle name="20% - akcent 6 3 6 2 2" xfId="9607"/>
    <cellStyle name="20% - akcent 6 3 6 2 2 2" xfId="9608"/>
    <cellStyle name="20% - akcent 6 3 6 2 2 2 2" xfId="9609"/>
    <cellStyle name="20% - akcent 6 3 6 2 2 2 3" xfId="9610"/>
    <cellStyle name="20% - akcent 6 3 6 2 2 3" xfId="9611"/>
    <cellStyle name="20% - akcent 6 3 6 2 2 4" xfId="9612"/>
    <cellStyle name="20% - akcent 6 3 6 2 3" xfId="9613"/>
    <cellStyle name="20% - akcent 6 3 6 2 3 2" xfId="9614"/>
    <cellStyle name="20% - akcent 6 3 6 2 3 2 2" xfId="9615"/>
    <cellStyle name="20% - akcent 6 3 6 2 3 2 3" xfId="9616"/>
    <cellStyle name="20% - akcent 6 3 6 2 3 3" xfId="9617"/>
    <cellStyle name="20% - akcent 6 3 6 2 3 4" xfId="9618"/>
    <cellStyle name="20% - akcent 6 3 6 2 4" xfId="9619"/>
    <cellStyle name="20% - akcent 6 3 6 2 4 2" xfId="9620"/>
    <cellStyle name="20% - akcent 6 3 6 2 4 2 2" xfId="9621"/>
    <cellStyle name="20% - akcent 6 3 6 2 4 2 3" xfId="9622"/>
    <cellStyle name="20% - akcent 6 3 6 2 4 3" xfId="9623"/>
    <cellStyle name="20% - akcent 6 3 6 2 4 4" xfId="9624"/>
    <cellStyle name="20% - akcent 6 3 6 2 5" xfId="9625"/>
    <cellStyle name="20% - akcent 6 3 6 2 5 2" xfId="9626"/>
    <cellStyle name="20% - akcent 6 3 6 2 5 3" xfId="9627"/>
    <cellStyle name="20% - akcent 6 3 6 2 6" xfId="9628"/>
    <cellStyle name="20% - akcent 6 3 6 2 7" xfId="9629"/>
    <cellStyle name="20% - akcent 6 3 6 3" xfId="9630"/>
    <cellStyle name="20% - akcent 6 3 6 3 2" xfId="9631"/>
    <cellStyle name="20% - akcent 6 3 6 3 2 2" xfId="9632"/>
    <cellStyle name="20% - akcent 6 3 6 3 2 2 2" xfId="9633"/>
    <cellStyle name="20% - akcent 6 3 6 3 2 2 3" xfId="9634"/>
    <cellStyle name="20% - akcent 6 3 6 3 2 3" xfId="9635"/>
    <cellStyle name="20% - akcent 6 3 6 3 2 4" xfId="9636"/>
    <cellStyle name="20% - akcent 6 3 6 3 3" xfId="9637"/>
    <cellStyle name="20% - akcent 6 3 6 3 3 2" xfId="9638"/>
    <cellStyle name="20% - akcent 6 3 6 3 3 2 2" xfId="9639"/>
    <cellStyle name="20% - akcent 6 3 6 3 3 2 3" xfId="9640"/>
    <cellStyle name="20% - akcent 6 3 6 3 3 3" xfId="9641"/>
    <cellStyle name="20% - akcent 6 3 6 3 3 4" xfId="9642"/>
    <cellStyle name="20% - akcent 6 3 6 3 4" xfId="9643"/>
    <cellStyle name="20% - akcent 6 3 6 3 4 2" xfId="9644"/>
    <cellStyle name="20% - akcent 6 3 6 3 4 2 2" xfId="9645"/>
    <cellStyle name="20% - akcent 6 3 6 3 4 2 3" xfId="9646"/>
    <cellStyle name="20% - akcent 6 3 6 3 4 3" xfId="9647"/>
    <cellStyle name="20% - akcent 6 3 6 3 4 4" xfId="9648"/>
    <cellStyle name="20% - akcent 6 3 6 3 5" xfId="9649"/>
    <cellStyle name="20% - akcent 6 3 6 3 5 2" xfId="9650"/>
    <cellStyle name="20% - akcent 6 3 6 3 5 3" xfId="9651"/>
    <cellStyle name="20% - akcent 6 3 6 3 6" xfId="9652"/>
    <cellStyle name="20% - akcent 6 3 6 3 7" xfId="9653"/>
    <cellStyle name="20% - akcent 6 3 6 4" xfId="9654"/>
    <cellStyle name="20% - akcent 6 3 6 4 2" xfId="9655"/>
    <cellStyle name="20% - akcent 6 3 6 4 2 2" xfId="9656"/>
    <cellStyle name="20% - akcent 6 3 6 4 2 3" xfId="9657"/>
    <cellStyle name="20% - akcent 6 3 6 4 3" xfId="9658"/>
    <cellStyle name="20% - akcent 6 3 6 4 4" xfId="9659"/>
    <cellStyle name="20% - akcent 6 3 6 5" xfId="9660"/>
    <cellStyle name="20% - akcent 6 3 6 5 2" xfId="9661"/>
    <cellStyle name="20% - akcent 6 3 6 5 2 2" xfId="9662"/>
    <cellStyle name="20% - akcent 6 3 6 5 2 3" xfId="9663"/>
    <cellStyle name="20% - akcent 6 3 6 5 3" xfId="9664"/>
    <cellStyle name="20% - akcent 6 3 6 5 4" xfId="9665"/>
    <cellStyle name="20% - akcent 6 3 6 6" xfId="9666"/>
    <cellStyle name="20% - akcent 6 3 6 6 2" xfId="9667"/>
    <cellStyle name="20% - akcent 6 3 6 6 2 2" xfId="9668"/>
    <cellStyle name="20% - akcent 6 3 6 6 2 3" xfId="9669"/>
    <cellStyle name="20% - akcent 6 3 6 6 3" xfId="9670"/>
    <cellStyle name="20% - akcent 6 3 6 6 4" xfId="9671"/>
    <cellStyle name="20% - akcent 6 3 6 7" xfId="9672"/>
    <cellStyle name="20% - akcent 6 3 6 7 2" xfId="9673"/>
    <cellStyle name="20% - akcent 6 3 6 7 3" xfId="9674"/>
    <cellStyle name="20% - akcent 6 3 6 8" xfId="9675"/>
    <cellStyle name="20% - akcent 6 3 6 9" xfId="9676"/>
    <cellStyle name="20% - akcent 6 3 7" xfId="9677"/>
    <cellStyle name="20% - akcent 6 3 7 2" xfId="9678"/>
    <cellStyle name="20% - akcent 6 3 7 2 2" xfId="9679"/>
    <cellStyle name="20% - akcent 6 3 7 2 2 2" xfId="9680"/>
    <cellStyle name="20% - akcent 6 3 7 2 2 2 2" xfId="9681"/>
    <cellStyle name="20% - akcent 6 3 7 2 2 2 3" xfId="9682"/>
    <cellStyle name="20% - akcent 6 3 7 2 2 3" xfId="9683"/>
    <cellStyle name="20% - akcent 6 3 7 2 2 4" xfId="9684"/>
    <cellStyle name="20% - akcent 6 3 7 2 3" xfId="9685"/>
    <cellStyle name="20% - akcent 6 3 7 2 3 2" xfId="9686"/>
    <cellStyle name="20% - akcent 6 3 7 2 3 2 2" xfId="9687"/>
    <cellStyle name="20% - akcent 6 3 7 2 3 2 3" xfId="9688"/>
    <cellStyle name="20% - akcent 6 3 7 2 3 3" xfId="9689"/>
    <cellStyle name="20% - akcent 6 3 7 2 3 4" xfId="9690"/>
    <cellStyle name="20% - akcent 6 3 7 2 4" xfId="9691"/>
    <cellStyle name="20% - akcent 6 3 7 2 4 2" xfId="9692"/>
    <cellStyle name="20% - akcent 6 3 7 2 4 2 2" xfId="9693"/>
    <cellStyle name="20% - akcent 6 3 7 2 4 2 3" xfId="9694"/>
    <cellStyle name="20% - akcent 6 3 7 2 4 3" xfId="9695"/>
    <cellStyle name="20% - akcent 6 3 7 2 4 4" xfId="9696"/>
    <cellStyle name="20% - akcent 6 3 7 2 5" xfId="9697"/>
    <cellStyle name="20% - akcent 6 3 7 2 5 2" xfId="9698"/>
    <cellStyle name="20% - akcent 6 3 7 2 5 3" xfId="9699"/>
    <cellStyle name="20% - akcent 6 3 7 2 6" xfId="9700"/>
    <cellStyle name="20% - akcent 6 3 7 2 7" xfId="9701"/>
    <cellStyle name="20% - akcent 6 3 7 3" xfId="9702"/>
    <cellStyle name="20% - akcent 6 3 7 3 2" xfId="9703"/>
    <cellStyle name="20% - akcent 6 3 7 3 2 2" xfId="9704"/>
    <cellStyle name="20% - akcent 6 3 7 3 2 3" xfId="9705"/>
    <cellStyle name="20% - akcent 6 3 7 3 3" xfId="9706"/>
    <cellStyle name="20% - akcent 6 3 7 3 4" xfId="9707"/>
    <cellStyle name="20% - akcent 6 3 7 4" xfId="9708"/>
    <cellStyle name="20% - akcent 6 3 7 4 2" xfId="9709"/>
    <cellStyle name="20% - akcent 6 3 7 4 2 2" xfId="9710"/>
    <cellStyle name="20% - akcent 6 3 7 4 2 3" xfId="9711"/>
    <cellStyle name="20% - akcent 6 3 7 4 3" xfId="9712"/>
    <cellStyle name="20% - akcent 6 3 7 4 4" xfId="9713"/>
    <cellStyle name="20% - akcent 6 3 7 5" xfId="9714"/>
    <cellStyle name="20% - akcent 6 3 7 5 2" xfId="9715"/>
    <cellStyle name="20% - akcent 6 3 7 5 2 2" xfId="9716"/>
    <cellStyle name="20% - akcent 6 3 7 5 2 3" xfId="9717"/>
    <cellStyle name="20% - akcent 6 3 7 5 3" xfId="9718"/>
    <cellStyle name="20% - akcent 6 3 7 5 4" xfId="9719"/>
    <cellStyle name="20% - akcent 6 3 7 6" xfId="9720"/>
    <cellStyle name="20% - akcent 6 3 7 6 2" xfId="9721"/>
    <cellStyle name="20% - akcent 6 3 7 6 3" xfId="9722"/>
    <cellStyle name="20% - akcent 6 3 7 7" xfId="9723"/>
    <cellStyle name="20% - akcent 6 3 7 8" xfId="9724"/>
    <cellStyle name="20% - akcent 6 3 8" xfId="9725"/>
    <cellStyle name="20% - akcent 6 3 8 2" xfId="9726"/>
    <cellStyle name="20% - akcent 6 3 8 2 2" xfId="9727"/>
    <cellStyle name="20% - akcent 6 3 8 2 2 2" xfId="9728"/>
    <cellStyle name="20% - akcent 6 3 8 2 2 2 2" xfId="9729"/>
    <cellStyle name="20% - akcent 6 3 8 2 2 2 3" xfId="9730"/>
    <cellStyle name="20% - akcent 6 3 8 2 2 3" xfId="9731"/>
    <cellStyle name="20% - akcent 6 3 8 2 2 4" xfId="9732"/>
    <cellStyle name="20% - akcent 6 3 8 2 3" xfId="9733"/>
    <cellStyle name="20% - akcent 6 3 8 2 3 2" xfId="9734"/>
    <cellStyle name="20% - akcent 6 3 8 2 3 2 2" xfId="9735"/>
    <cellStyle name="20% - akcent 6 3 8 2 3 2 3" xfId="9736"/>
    <cellStyle name="20% - akcent 6 3 8 2 3 3" xfId="9737"/>
    <cellStyle name="20% - akcent 6 3 8 2 3 4" xfId="9738"/>
    <cellStyle name="20% - akcent 6 3 8 2 4" xfId="9739"/>
    <cellStyle name="20% - akcent 6 3 8 2 4 2" xfId="9740"/>
    <cellStyle name="20% - akcent 6 3 8 2 4 2 2" xfId="9741"/>
    <cellStyle name="20% - akcent 6 3 8 2 4 2 3" xfId="9742"/>
    <cellStyle name="20% - akcent 6 3 8 2 4 3" xfId="9743"/>
    <cellStyle name="20% - akcent 6 3 8 2 4 4" xfId="9744"/>
    <cellStyle name="20% - akcent 6 3 8 2 5" xfId="9745"/>
    <cellStyle name="20% - akcent 6 3 8 2 5 2" xfId="9746"/>
    <cellStyle name="20% - akcent 6 3 8 2 5 3" xfId="9747"/>
    <cellStyle name="20% - akcent 6 3 8 2 6" xfId="9748"/>
    <cellStyle name="20% - akcent 6 3 8 2 7" xfId="9749"/>
    <cellStyle name="20% - akcent 6 3 8 3" xfId="9750"/>
    <cellStyle name="20% - akcent 6 3 8 3 2" xfId="9751"/>
    <cellStyle name="20% - akcent 6 3 8 3 2 2" xfId="9752"/>
    <cellStyle name="20% - akcent 6 3 8 3 2 3" xfId="9753"/>
    <cellStyle name="20% - akcent 6 3 8 3 3" xfId="9754"/>
    <cellStyle name="20% - akcent 6 3 8 3 4" xfId="9755"/>
    <cellStyle name="20% - akcent 6 3 8 4" xfId="9756"/>
    <cellStyle name="20% - akcent 6 3 8 4 2" xfId="9757"/>
    <cellStyle name="20% - akcent 6 3 8 4 2 2" xfId="9758"/>
    <cellStyle name="20% - akcent 6 3 8 4 2 3" xfId="9759"/>
    <cellStyle name="20% - akcent 6 3 8 4 3" xfId="9760"/>
    <cellStyle name="20% - akcent 6 3 8 4 4" xfId="9761"/>
    <cellStyle name="20% - akcent 6 3 8 5" xfId="9762"/>
    <cellStyle name="20% - akcent 6 3 8 5 2" xfId="9763"/>
    <cellStyle name="20% - akcent 6 3 8 5 2 2" xfId="9764"/>
    <cellStyle name="20% - akcent 6 3 8 5 2 3" xfId="9765"/>
    <cellStyle name="20% - akcent 6 3 8 5 3" xfId="9766"/>
    <cellStyle name="20% - akcent 6 3 8 5 4" xfId="9767"/>
    <cellStyle name="20% - akcent 6 3 8 6" xfId="9768"/>
    <cellStyle name="20% - akcent 6 3 8 6 2" xfId="9769"/>
    <cellStyle name="20% - akcent 6 3 8 6 3" xfId="9770"/>
    <cellStyle name="20% - akcent 6 3 8 7" xfId="9771"/>
    <cellStyle name="20% - akcent 6 3 8 8" xfId="9772"/>
    <cellStyle name="20% - akcent 6 3 9" xfId="9773"/>
    <cellStyle name="20% - akcent 6 3 9 2" xfId="9774"/>
    <cellStyle name="20% - akcent 6 3 9 2 2" xfId="9775"/>
    <cellStyle name="20% - akcent 6 3 9 2 2 2" xfId="9776"/>
    <cellStyle name="20% - akcent 6 3 9 2 2 3" xfId="9777"/>
    <cellStyle name="20% - akcent 6 3 9 2 3" xfId="9778"/>
    <cellStyle name="20% - akcent 6 3 9 2 4" xfId="9779"/>
    <cellStyle name="20% - akcent 6 3 9 3" xfId="9780"/>
    <cellStyle name="20% - akcent 6 3 9 3 2" xfId="9781"/>
    <cellStyle name="20% - akcent 6 3 9 3 2 2" xfId="9782"/>
    <cellStyle name="20% - akcent 6 3 9 3 2 3" xfId="9783"/>
    <cellStyle name="20% - akcent 6 3 9 3 3" xfId="9784"/>
    <cellStyle name="20% - akcent 6 3 9 3 4" xfId="9785"/>
    <cellStyle name="20% - akcent 6 3 9 4" xfId="9786"/>
    <cellStyle name="20% - akcent 6 3 9 4 2" xfId="9787"/>
    <cellStyle name="20% - akcent 6 3 9 4 2 2" xfId="9788"/>
    <cellStyle name="20% - akcent 6 3 9 4 2 3" xfId="9789"/>
    <cellStyle name="20% - akcent 6 3 9 4 3" xfId="9790"/>
    <cellStyle name="20% - akcent 6 3 9 4 4" xfId="9791"/>
    <cellStyle name="20% - akcent 6 3 9 5" xfId="9792"/>
    <cellStyle name="20% - akcent 6 3 9 5 2" xfId="9793"/>
    <cellStyle name="20% - akcent 6 3 9 5 3" xfId="9794"/>
    <cellStyle name="20% - akcent 6 3 9 6" xfId="9795"/>
    <cellStyle name="20% - akcent 6 3 9 7" xfId="9796"/>
    <cellStyle name="20% - akcent 6 4" xfId="9797"/>
    <cellStyle name="20% - akcent 6 5" xfId="9798"/>
    <cellStyle name="20% - akcent 6 6" xfId="9799"/>
    <cellStyle name="40% - akcent 1 2" xfId="9800"/>
    <cellStyle name="40% - akcent 1 2 2" xfId="9801"/>
    <cellStyle name="40% - akcent 1 2 3" xfId="9802"/>
    <cellStyle name="40% - akcent 1 2 4" xfId="9803"/>
    <cellStyle name="40% - akcent 1 3" xfId="9804"/>
    <cellStyle name="40% - akcent 1 3 10" xfId="9805"/>
    <cellStyle name="40% - akcent 1 3 10 2" xfId="9806"/>
    <cellStyle name="40% - akcent 1 3 10 2 2" xfId="9807"/>
    <cellStyle name="40% - akcent 1 3 10 2 2 2" xfId="9808"/>
    <cellStyle name="40% - akcent 1 3 10 2 2 3" xfId="9809"/>
    <cellStyle name="40% - akcent 1 3 10 2 3" xfId="9810"/>
    <cellStyle name="40% - akcent 1 3 10 2 4" xfId="9811"/>
    <cellStyle name="40% - akcent 1 3 10 3" xfId="9812"/>
    <cellStyle name="40% - akcent 1 3 10 3 2" xfId="9813"/>
    <cellStyle name="40% - akcent 1 3 10 3 3" xfId="9814"/>
    <cellStyle name="40% - akcent 1 3 10 4" xfId="9815"/>
    <cellStyle name="40% - akcent 1 3 10 5" xfId="9816"/>
    <cellStyle name="40% - akcent 1 3 11" xfId="9817"/>
    <cellStyle name="40% - akcent 1 3 11 2" xfId="9818"/>
    <cellStyle name="40% - akcent 1 3 11 2 2" xfId="9819"/>
    <cellStyle name="40% - akcent 1 3 11 2 3" xfId="9820"/>
    <cellStyle name="40% - akcent 1 3 11 3" xfId="9821"/>
    <cellStyle name="40% - akcent 1 3 11 4" xfId="9822"/>
    <cellStyle name="40% - akcent 1 3 12" xfId="9823"/>
    <cellStyle name="40% - akcent 1 3 12 2" xfId="9824"/>
    <cellStyle name="40% - akcent 1 3 12 2 2" xfId="9825"/>
    <cellStyle name="40% - akcent 1 3 12 2 3" xfId="9826"/>
    <cellStyle name="40% - akcent 1 3 12 3" xfId="9827"/>
    <cellStyle name="40% - akcent 1 3 12 4" xfId="9828"/>
    <cellStyle name="40% - akcent 1 3 13" xfId="9829"/>
    <cellStyle name="40% - akcent 1 3 13 2" xfId="9830"/>
    <cellStyle name="40% - akcent 1 3 13 2 2" xfId="9831"/>
    <cellStyle name="40% - akcent 1 3 13 2 3" xfId="9832"/>
    <cellStyle name="40% - akcent 1 3 13 3" xfId="9833"/>
    <cellStyle name="40% - akcent 1 3 13 4" xfId="9834"/>
    <cellStyle name="40% - akcent 1 3 14" xfId="9835"/>
    <cellStyle name="40% - akcent 1 3 14 2" xfId="9836"/>
    <cellStyle name="40% - akcent 1 3 14 3" xfId="9837"/>
    <cellStyle name="40% - akcent 1 3 15" xfId="9838"/>
    <cellStyle name="40% - akcent 1 3 15 2" xfId="9839"/>
    <cellStyle name="40% - akcent 1 3 15 3" xfId="9840"/>
    <cellStyle name="40% - akcent 1 3 16" xfId="9841"/>
    <cellStyle name="40% - akcent 1 3 17" xfId="9842"/>
    <cellStyle name="40% - akcent 1 3 18" xfId="9843"/>
    <cellStyle name="40% - akcent 1 3 2" xfId="9844"/>
    <cellStyle name="40% - akcent 1 3 2 10" xfId="9845"/>
    <cellStyle name="40% - akcent 1 3 2 10 2" xfId="9846"/>
    <cellStyle name="40% - akcent 1 3 2 10 2 2" xfId="9847"/>
    <cellStyle name="40% - akcent 1 3 2 10 2 3" xfId="9848"/>
    <cellStyle name="40% - akcent 1 3 2 10 3" xfId="9849"/>
    <cellStyle name="40% - akcent 1 3 2 10 4" xfId="9850"/>
    <cellStyle name="40% - akcent 1 3 2 11" xfId="9851"/>
    <cellStyle name="40% - akcent 1 3 2 11 2" xfId="9852"/>
    <cellStyle name="40% - akcent 1 3 2 11 3" xfId="9853"/>
    <cellStyle name="40% - akcent 1 3 2 12" xfId="9854"/>
    <cellStyle name="40% - akcent 1 3 2 12 2" xfId="9855"/>
    <cellStyle name="40% - akcent 1 3 2 12 3" xfId="9856"/>
    <cellStyle name="40% - akcent 1 3 2 13" xfId="9857"/>
    <cellStyle name="40% - akcent 1 3 2 14" xfId="9858"/>
    <cellStyle name="40% - akcent 1 3 2 15" xfId="9859"/>
    <cellStyle name="40% - akcent 1 3 2 2" xfId="9860"/>
    <cellStyle name="40% - akcent 1 3 2 2 10" xfId="9861"/>
    <cellStyle name="40% - akcent 1 3 2 2 11" xfId="9862"/>
    <cellStyle name="40% - akcent 1 3 2 2 2" xfId="9863"/>
    <cellStyle name="40% - akcent 1 3 2 2 2 2" xfId="9864"/>
    <cellStyle name="40% - akcent 1 3 2 2 2 2 2" xfId="9865"/>
    <cellStyle name="40% - akcent 1 3 2 2 2 2 2 2" xfId="9866"/>
    <cellStyle name="40% - akcent 1 3 2 2 2 2 2 2 2" xfId="9867"/>
    <cellStyle name="40% - akcent 1 3 2 2 2 2 2 2 3" xfId="9868"/>
    <cellStyle name="40% - akcent 1 3 2 2 2 2 2 3" xfId="9869"/>
    <cellStyle name="40% - akcent 1 3 2 2 2 2 2 4" xfId="9870"/>
    <cellStyle name="40% - akcent 1 3 2 2 2 2 3" xfId="9871"/>
    <cellStyle name="40% - akcent 1 3 2 2 2 2 3 2" xfId="9872"/>
    <cellStyle name="40% - akcent 1 3 2 2 2 2 3 2 2" xfId="9873"/>
    <cellStyle name="40% - akcent 1 3 2 2 2 2 3 2 3" xfId="9874"/>
    <cellStyle name="40% - akcent 1 3 2 2 2 2 3 3" xfId="9875"/>
    <cellStyle name="40% - akcent 1 3 2 2 2 2 3 4" xfId="9876"/>
    <cellStyle name="40% - akcent 1 3 2 2 2 2 4" xfId="9877"/>
    <cellStyle name="40% - akcent 1 3 2 2 2 2 4 2" xfId="9878"/>
    <cellStyle name="40% - akcent 1 3 2 2 2 2 4 2 2" xfId="9879"/>
    <cellStyle name="40% - akcent 1 3 2 2 2 2 4 2 3" xfId="9880"/>
    <cellStyle name="40% - akcent 1 3 2 2 2 2 4 3" xfId="9881"/>
    <cellStyle name="40% - akcent 1 3 2 2 2 2 4 4" xfId="9882"/>
    <cellStyle name="40% - akcent 1 3 2 2 2 2 5" xfId="9883"/>
    <cellStyle name="40% - akcent 1 3 2 2 2 2 5 2" xfId="9884"/>
    <cellStyle name="40% - akcent 1 3 2 2 2 2 5 3" xfId="9885"/>
    <cellStyle name="40% - akcent 1 3 2 2 2 2 6" xfId="9886"/>
    <cellStyle name="40% - akcent 1 3 2 2 2 2 7" xfId="9887"/>
    <cellStyle name="40% - akcent 1 3 2 2 2 3" xfId="9888"/>
    <cellStyle name="40% - akcent 1 3 2 2 2 3 2" xfId="9889"/>
    <cellStyle name="40% - akcent 1 3 2 2 2 3 2 2" xfId="9890"/>
    <cellStyle name="40% - akcent 1 3 2 2 2 3 2 2 2" xfId="9891"/>
    <cellStyle name="40% - akcent 1 3 2 2 2 3 2 2 3" xfId="9892"/>
    <cellStyle name="40% - akcent 1 3 2 2 2 3 2 3" xfId="9893"/>
    <cellStyle name="40% - akcent 1 3 2 2 2 3 2 4" xfId="9894"/>
    <cellStyle name="40% - akcent 1 3 2 2 2 3 3" xfId="9895"/>
    <cellStyle name="40% - akcent 1 3 2 2 2 3 3 2" xfId="9896"/>
    <cellStyle name="40% - akcent 1 3 2 2 2 3 3 2 2" xfId="9897"/>
    <cellStyle name="40% - akcent 1 3 2 2 2 3 3 2 3" xfId="9898"/>
    <cellStyle name="40% - akcent 1 3 2 2 2 3 3 3" xfId="9899"/>
    <cellStyle name="40% - akcent 1 3 2 2 2 3 3 4" xfId="9900"/>
    <cellStyle name="40% - akcent 1 3 2 2 2 3 4" xfId="9901"/>
    <cellStyle name="40% - akcent 1 3 2 2 2 3 4 2" xfId="9902"/>
    <cellStyle name="40% - akcent 1 3 2 2 2 3 4 2 2" xfId="9903"/>
    <cellStyle name="40% - akcent 1 3 2 2 2 3 4 2 3" xfId="9904"/>
    <cellStyle name="40% - akcent 1 3 2 2 2 3 4 3" xfId="9905"/>
    <cellStyle name="40% - akcent 1 3 2 2 2 3 4 4" xfId="9906"/>
    <cellStyle name="40% - akcent 1 3 2 2 2 3 5" xfId="9907"/>
    <cellStyle name="40% - akcent 1 3 2 2 2 3 5 2" xfId="9908"/>
    <cellStyle name="40% - akcent 1 3 2 2 2 3 5 3" xfId="9909"/>
    <cellStyle name="40% - akcent 1 3 2 2 2 3 6" xfId="9910"/>
    <cellStyle name="40% - akcent 1 3 2 2 2 3 7" xfId="9911"/>
    <cellStyle name="40% - akcent 1 3 2 2 2 4" xfId="9912"/>
    <cellStyle name="40% - akcent 1 3 2 2 2 4 2" xfId="9913"/>
    <cellStyle name="40% - akcent 1 3 2 2 2 4 2 2" xfId="9914"/>
    <cellStyle name="40% - akcent 1 3 2 2 2 4 2 3" xfId="9915"/>
    <cellStyle name="40% - akcent 1 3 2 2 2 4 3" xfId="9916"/>
    <cellStyle name="40% - akcent 1 3 2 2 2 4 4" xfId="9917"/>
    <cellStyle name="40% - akcent 1 3 2 2 2 5" xfId="9918"/>
    <cellStyle name="40% - akcent 1 3 2 2 2 5 2" xfId="9919"/>
    <cellStyle name="40% - akcent 1 3 2 2 2 5 2 2" xfId="9920"/>
    <cellStyle name="40% - akcent 1 3 2 2 2 5 2 3" xfId="9921"/>
    <cellStyle name="40% - akcent 1 3 2 2 2 5 3" xfId="9922"/>
    <cellStyle name="40% - akcent 1 3 2 2 2 5 4" xfId="9923"/>
    <cellStyle name="40% - akcent 1 3 2 2 2 6" xfId="9924"/>
    <cellStyle name="40% - akcent 1 3 2 2 2 6 2" xfId="9925"/>
    <cellStyle name="40% - akcent 1 3 2 2 2 6 2 2" xfId="9926"/>
    <cellStyle name="40% - akcent 1 3 2 2 2 6 2 3" xfId="9927"/>
    <cellStyle name="40% - akcent 1 3 2 2 2 6 3" xfId="9928"/>
    <cellStyle name="40% - akcent 1 3 2 2 2 6 4" xfId="9929"/>
    <cellStyle name="40% - akcent 1 3 2 2 2 7" xfId="9930"/>
    <cellStyle name="40% - akcent 1 3 2 2 2 7 2" xfId="9931"/>
    <cellStyle name="40% - akcent 1 3 2 2 2 7 3" xfId="9932"/>
    <cellStyle name="40% - akcent 1 3 2 2 2 8" xfId="9933"/>
    <cellStyle name="40% - akcent 1 3 2 2 2 9" xfId="9934"/>
    <cellStyle name="40% - akcent 1 3 2 2 3" xfId="9935"/>
    <cellStyle name="40% - akcent 1 3 2 2 3 2" xfId="9936"/>
    <cellStyle name="40% - akcent 1 3 2 2 3 2 2" xfId="9937"/>
    <cellStyle name="40% - akcent 1 3 2 2 3 2 2 2" xfId="9938"/>
    <cellStyle name="40% - akcent 1 3 2 2 3 2 2 3" xfId="9939"/>
    <cellStyle name="40% - akcent 1 3 2 2 3 2 3" xfId="9940"/>
    <cellStyle name="40% - akcent 1 3 2 2 3 2 4" xfId="9941"/>
    <cellStyle name="40% - akcent 1 3 2 2 3 3" xfId="9942"/>
    <cellStyle name="40% - akcent 1 3 2 2 3 3 2" xfId="9943"/>
    <cellStyle name="40% - akcent 1 3 2 2 3 3 2 2" xfId="9944"/>
    <cellStyle name="40% - akcent 1 3 2 2 3 3 2 3" xfId="9945"/>
    <cellStyle name="40% - akcent 1 3 2 2 3 3 3" xfId="9946"/>
    <cellStyle name="40% - akcent 1 3 2 2 3 3 4" xfId="9947"/>
    <cellStyle name="40% - akcent 1 3 2 2 3 4" xfId="9948"/>
    <cellStyle name="40% - akcent 1 3 2 2 3 4 2" xfId="9949"/>
    <cellStyle name="40% - akcent 1 3 2 2 3 4 2 2" xfId="9950"/>
    <cellStyle name="40% - akcent 1 3 2 2 3 4 2 3" xfId="9951"/>
    <cellStyle name="40% - akcent 1 3 2 2 3 4 3" xfId="9952"/>
    <cellStyle name="40% - akcent 1 3 2 2 3 4 4" xfId="9953"/>
    <cellStyle name="40% - akcent 1 3 2 2 3 5" xfId="9954"/>
    <cellStyle name="40% - akcent 1 3 2 2 3 5 2" xfId="9955"/>
    <cellStyle name="40% - akcent 1 3 2 2 3 5 3" xfId="9956"/>
    <cellStyle name="40% - akcent 1 3 2 2 3 6" xfId="9957"/>
    <cellStyle name="40% - akcent 1 3 2 2 3 7" xfId="9958"/>
    <cellStyle name="40% - akcent 1 3 2 2 4" xfId="9959"/>
    <cellStyle name="40% - akcent 1 3 2 2 4 2" xfId="9960"/>
    <cellStyle name="40% - akcent 1 3 2 2 4 2 2" xfId="9961"/>
    <cellStyle name="40% - akcent 1 3 2 2 4 2 2 2" xfId="9962"/>
    <cellStyle name="40% - akcent 1 3 2 2 4 2 2 3" xfId="9963"/>
    <cellStyle name="40% - akcent 1 3 2 2 4 2 3" xfId="9964"/>
    <cellStyle name="40% - akcent 1 3 2 2 4 2 4" xfId="9965"/>
    <cellStyle name="40% - akcent 1 3 2 2 4 3" xfId="9966"/>
    <cellStyle name="40% - akcent 1 3 2 2 4 3 2" xfId="9967"/>
    <cellStyle name="40% - akcent 1 3 2 2 4 3 2 2" xfId="9968"/>
    <cellStyle name="40% - akcent 1 3 2 2 4 3 2 3" xfId="9969"/>
    <cellStyle name="40% - akcent 1 3 2 2 4 3 3" xfId="9970"/>
    <cellStyle name="40% - akcent 1 3 2 2 4 3 4" xfId="9971"/>
    <cellStyle name="40% - akcent 1 3 2 2 4 4" xfId="9972"/>
    <cellStyle name="40% - akcent 1 3 2 2 4 4 2" xfId="9973"/>
    <cellStyle name="40% - akcent 1 3 2 2 4 4 2 2" xfId="9974"/>
    <cellStyle name="40% - akcent 1 3 2 2 4 4 2 3" xfId="9975"/>
    <cellStyle name="40% - akcent 1 3 2 2 4 4 3" xfId="9976"/>
    <cellStyle name="40% - akcent 1 3 2 2 4 4 4" xfId="9977"/>
    <cellStyle name="40% - akcent 1 3 2 2 4 5" xfId="9978"/>
    <cellStyle name="40% - akcent 1 3 2 2 4 5 2" xfId="9979"/>
    <cellStyle name="40% - akcent 1 3 2 2 4 5 3" xfId="9980"/>
    <cellStyle name="40% - akcent 1 3 2 2 4 6" xfId="9981"/>
    <cellStyle name="40% - akcent 1 3 2 2 4 7" xfId="9982"/>
    <cellStyle name="40% - akcent 1 3 2 2 5" xfId="9983"/>
    <cellStyle name="40% - akcent 1 3 2 2 5 2" xfId="9984"/>
    <cellStyle name="40% - akcent 1 3 2 2 5 2 2" xfId="9985"/>
    <cellStyle name="40% - akcent 1 3 2 2 5 2 2 2" xfId="9986"/>
    <cellStyle name="40% - akcent 1 3 2 2 5 2 2 3" xfId="9987"/>
    <cellStyle name="40% - akcent 1 3 2 2 5 2 3" xfId="9988"/>
    <cellStyle name="40% - akcent 1 3 2 2 5 2 4" xfId="9989"/>
    <cellStyle name="40% - akcent 1 3 2 2 5 3" xfId="9990"/>
    <cellStyle name="40% - akcent 1 3 2 2 5 3 2" xfId="9991"/>
    <cellStyle name="40% - akcent 1 3 2 2 5 3 3" xfId="9992"/>
    <cellStyle name="40% - akcent 1 3 2 2 5 4" xfId="9993"/>
    <cellStyle name="40% - akcent 1 3 2 2 5 5" xfId="9994"/>
    <cellStyle name="40% - akcent 1 3 2 2 6" xfId="9995"/>
    <cellStyle name="40% - akcent 1 3 2 2 6 2" xfId="9996"/>
    <cellStyle name="40% - akcent 1 3 2 2 6 2 2" xfId="9997"/>
    <cellStyle name="40% - akcent 1 3 2 2 6 2 3" xfId="9998"/>
    <cellStyle name="40% - akcent 1 3 2 2 6 3" xfId="9999"/>
    <cellStyle name="40% - akcent 1 3 2 2 6 4" xfId="10000"/>
    <cellStyle name="40% - akcent 1 3 2 2 7" xfId="10001"/>
    <cellStyle name="40% - akcent 1 3 2 2 7 2" xfId="10002"/>
    <cellStyle name="40% - akcent 1 3 2 2 7 2 2" xfId="10003"/>
    <cellStyle name="40% - akcent 1 3 2 2 7 2 3" xfId="10004"/>
    <cellStyle name="40% - akcent 1 3 2 2 7 3" xfId="10005"/>
    <cellStyle name="40% - akcent 1 3 2 2 7 4" xfId="10006"/>
    <cellStyle name="40% - akcent 1 3 2 2 8" xfId="10007"/>
    <cellStyle name="40% - akcent 1 3 2 2 8 2" xfId="10008"/>
    <cellStyle name="40% - akcent 1 3 2 2 8 2 2" xfId="10009"/>
    <cellStyle name="40% - akcent 1 3 2 2 8 2 3" xfId="10010"/>
    <cellStyle name="40% - akcent 1 3 2 2 8 3" xfId="10011"/>
    <cellStyle name="40% - akcent 1 3 2 2 8 4" xfId="10012"/>
    <cellStyle name="40% - akcent 1 3 2 2 9" xfId="10013"/>
    <cellStyle name="40% - akcent 1 3 2 2 9 2" xfId="10014"/>
    <cellStyle name="40% - akcent 1 3 2 2 9 3" xfId="10015"/>
    <cellStyle name="40% - akcent 1 3 2 3" xfId="10016"/>
    <cellStyle name="40% - akcent 1 3 2 3 10" xfId="10017"/>
    <cellStyle name="40% - akcent 1 3 2 3 2" xfId="10018"/>
    <cellStyle name="40% - akcent 1 3 2 3 2 2" xfId="10019"/>
    <cellStyle name="40% - akcent 1 3 2 3 2 2 2" xfId="10020"/>
    <cellStyle name="40% - akcent 1 3 2 3 2 2 2 2" xfId="10021"/>
    <cellStyle name="40% - akcent 1 3 2 3 2 2 2 3" xfId="10022"/>
    <cellStyle name="40% - akcent 1 3 2 3 2 2 3" xfId="10023"/>
    <cellStyle name="40% - akcent 1 3 2 3 2 2 4" xfId="10024"/>
    <cellStyle name="40% - akcent 1 3 2 3 2 3" xfId="10025"/>
    <cellStyle name="40% - akcent 1 3 2 3 2 3 2" xfId="10026"/>
    <cellStyle name="40% - akcent 1 3 2 3 2 3 2 2" xfId="10027"/>
    <cellStyle name="40% - akcent 1 3 2 3 2 3 2 3" xfId="10028"/>
    <cellStyle name="40% - akcent 1 3 2 3 2 3 3" xfId="10029"/>
    <cellStyle name="40% - akcent 1 3 2 3 2 3 4" xfId="10030"/>
    <cellStyle name="40% - akcent 1 3 2 3 2 4" xfId="10031"/>
    <cellStyle name="40% - akcent 1 3 2 3 2 4 2" xfId="10032"/>
    <cellStyle name="40% - akcent 1 3 2 3 2 4 2 2" xfId="10033"/>
    <cellStyle name="40% - akcent 1 3 2 3 2 4 2 3" xfId="10034"/>
    <cellStyle name="40% - akcent 1 3 2 3 2 4 3" xfId="10035"/>
    <cellStyle name="40% - akcent 1 3 2 3 2 4 4" xfId="10036"/>
    <cellStyle name="40% - akcent 1 3 2 3 2 5" xfId="10037"/>
    <cellStyle name="40% - akcent 1 3 2 3 2 5 2" xfId="10038"/>
    <cellStyle name="40% - akcent 1 3 2 3 2 5 3" xfId="10039"/>
    <cellStyle name="40% - akcent 1 3 2 3 2 6" xfId="10040"/>
    <cellStyle name="40% - akcent 1 3 2 3 2 7" xfId="10041"/>
    <cellStyle name="40% - akcent 1 3 2 3 3" xfId="10042"/>
    <cellStyle name="40% - akcent 1 3 2 3 3 2" xfId="10043"/>
    <cellStyle name="40% - akcent 1 3 2 3 3 2 2" xfId="10044"/>
    <cellStyle name="40% - akcent 1 3 2 3 3 2 2 2" xfId="10045"/>
    <cellStyle name="40% - akcent 1 3 2 3 3 2 2 3" xfId="10046"/>
    <cellStyle name="40% - akcent 1 3 2 3 3 2 3" xfId="10047"/>
    <cellStyle name="40% - akcent 1 3 2 3 3 2 4" xfId="10048"/>
    <cellStyle name="40% - akcent 1 3 2 3 3 3" xfId="10049"/>
    <cellStyle name="40% - akcent 1 3 2 3 3 3 2" xfId="10050"/>
    <cellStyle name="40% - akcent 1 3 2 3 3 3 2 2" xfId="10051"/>
    <cellStyle name="40% - akcent 1 3 2 3 3 3 2 3" xfId="10052"/>
    <cellStyle name="40% - akcent 1 3 2 3 3 3 3" xfId="10053"/>
    <cellStyle name="40% - akcent 1 3 2 3 3 3 4" xfId="10054"/>
    <cellStyle name="40% - akcent 1 3 2 3 3 4" xfId="10055"/>
    <cellStyle name="40% - akcent 1 3 2 3 3 4 2" xfId="10056"/>
    <cellStyle name="40% - akcent 1 3 2 3 3 4 2 2" xfId="10057"/>
    <cellStyle name="40% - akcent 1 3 2 3 3 4 2 3" xfId="10058"/>
    <cellStyle name="40% - akcent 1 3 2 3 3 4 3" xfId="10059"/>
    <cellStyle name="40% - akcent 1 3 2 3 3 4 4" xfId="10060"/>
    <cellStyle name="40% - akcent 1 3 2 3 3 5" xfId="10061"/>
    <cellStyle name="40% - akcent 1 3 2 3 3 5 2" xfId="10062"/>
    <cellStyle name="40% - akcent 1 3 2 3 3 5 3" xfId="10063"/>
    <cellStyle name="40% - akcent 1 3 2 3 3 6" xfId="10064"/>
    <cellStyle name="40% - akcent 1 3 2 3 3 7" xfId="10065"/>
    <cellStyle name="40% - akcent 1 3 2 3 4" xfId="10066"/>
    <cellStyle name="40% - akcent 1 3 2 3 4 2" xfId="10067"/>
    <cellStyle name="40% - akcent 1 3 2 3 4 2 2" xfId="10068"/>
    <cellStyle name="40% - akcent 1 3 2 3 4 2 2 2" xfId="10069"/>
    <cellStyle name="40% - akcent 1 3 2 3 4 2 2 3" xfId="10070"/>
    <cellStyle name="40% - akcent 1 3 2 3 4 2 3" xfId="10071"/>
    <cellStyle name="40% - akcent 1 3 2 3 4 2 4" xfId="10072"/>
    <cellStyle name="40% - akcent 1 3 2 3 4 3" xfId="10073"/>
    <cellStyle name="40% - akcent 1 3 2 3 4 3 2" xfId="10074"/>
    <cellStyle name="40% - akcent 1 3 2 3 4 3 3" xfId="10075"/>
    <cellStyle name="40% - akcent 1 3 2 3 4 4" xfId="10076"/>
    <cellStyle name="40% - akcent 1 3 2 3 4 5" xfId="10077"/>
    <cellStyle name="40% - akcent 1 3 2 3 5" xfId="10078"/>
    <cellStyle name="40% - akcent 1 3 2 3 5 2" xfId="10079"/>
    <cellStyle name="40% - akcent 1 3 2 3 5 2 2" xfId="10080"/>
    <cellStyle name="40% - akcent 1 3 2 3 5 2 3" xfId="10081"/>
    <cellStyle name="40% - akcent 1 3 2 3 5 3" xfId="10082"/>
    <cellStyle name="40% - akcent 1 3 2 3 5 4" xfId="10083"/>
    <cellStyle name="40% - akcent 1 3 2 3 6" xfId="10084"/>
    <cellStyle name="40% - akcent 1 3 2 3 6 2" xfId="10085"/>
    <cellStyle name="40% - akcent 1 3 2 3 6 2 2" xfId="10086"/>
    <cellStyle name="40% - akcent 1 3 2 3 6 2 3" xfId="10087"/>
    <cellStyle name="40% - akcent 1 3 2 3 6 3" xfId="10088"/>
    <cellStyle name="40% - akcent 1 3 2 3 6 4" xfId="10089"/>
    <cellStyle name="40% - akcent 1 3 2 3 7" xfId="10090"/>
    <cellStyle name="40% - akcent 1 3 2 3 7 2" xfId="10091"/>
    <cellStyle name="40% - akcent 1 3 2 3 7 2 2" xfId="10092"/>
    <cellStyle name="40% - akcent 1 3 2 3 7 2 3" xfId="10093"/>
    <cellStyle name="40% - akcent 1 3 2 3 7 3" xfId="10094"/>
    <cellStyle name="40% - akcent 1 3 2 3 7 4" xfId="10095"/>
    <cellStyle name="40% - akcent 1 3 2 3 8" xfId="10096"/>
    <cellStyle name="40% - akcent 1 3 2 3 8 2" xfId="10097"/>
    <cellStyle name="40% - akcent 1 3 2 3 8 3" xfId="10098"/>
    <cellStyle name="40% - akcent 1 3 2 3 9" xfId="10099"/>
    <cellStyle name="40% - akcent 1 3 2 4" xfId="10100"/>
    <cellStyle name="40% - akcent 1 3 2 4 2" xfId="10101"/>
    <cellStyle name="40% - akcent 1 3 2 4 2 2" xfId="10102"/>
    <cellStyle name="40% - akcent 1 3 2 4 2 2 2" xfId="10103"/>
    <cellStyle name="40% - akcent 1 3 2 4 2 2 2 2" xfId="10104"/>
    <cellStyle name="40% - akcent 1 3 2 4 2 2 2 3" xfId="10105"/>
    <cellStyle name="40% - akcent 1 3 2 4 2 2 3" xfId="10106"/>
    <cellStyle name="40% - akcent 1 3 2 4 2 2 4" xfId="10107"/>
    <cellStyle name="40% - akcent 1 3 2 4 2 3" xfId="10108"/>
    <cellStyle name="40% - akcent 1 3 2 4 2 3 2" xfId="10109"/>
    <cellStyle name="40% - akcent 1 3 2 4 2 3 2 2" xfId="10110"/>
    <cellStyle name="40% - akcent 1 3 2 4 2 3 2 3" xfId="10111"/>
    <cellStyle name="40% - akcent 1 3 2 4 2 3 3" xfId="10112"/>
    <cellStyle name="40% - akcent 1 3 2 4 2 3 4" xfId="10113"/>
    <cellStyle name="40% - akcent 1 3 2 4 2 4" xfId="10114"/>
    <cellStyle name="40% - akcent 1 3 2 4 2 4 2" xfId="10115"/>
    <cellStyle name="40% - akcent 1 3 2 4 2 4 2 2" xfId="10116"/>
    <cellStyle name="40% - akcent 1 3 2 4 2 4 2 3" xfId="10117"/>
    <cellStyle name="40% - akcent 1 3 2 4 2 4 3" xfId="10118"/>
    <cellStyle name="40% - akcent 1 3 2 4 2 4 4" xfId="10119"/>
    <cellStyle name="40% - akcent 1 3 2 4 2 5" xfId="10120"/>
    <cellStyle name="40% - akcent 1 3 2 4 2 5 2" xfId="10121"/>
    <cellStyle name="40% - akcent 1 3 2 4 2 5 3" xfId="10122"/>
    <cellStyle name="40% - akcent 1 3 2 4 2 6" xfId="10123"/>
    <cellStyle name="40% - akcent 1 3 2 4 2 7" xfId="10124"/>
    <cellStyle name="40% - akcent 1 3 2 4 3" xfId="10125"/>
    <cellStyle name="40% - akcent 1 3 2 4 3 2" xfId="10126"/>
    <cellStyle name="40% - akcent 1 3 2 4 3 2 2" xfId="10127"/>
    <cellStyle name="40% - akcent 1 3 2 4 3 2 2 2" xfId="10128"/>
    <cellStyle name="40% - akcent 1 3 2 4 3 2 2 3" xfId="10129"/>
    <cellStyle name="40% - akcent 1 3 2 4 3 2 3" xfId="10130"/>
    <cellStyle name="40% - akcent 1 3 2 4 3 2 4" xfId="10131"/>
    <cellStyle name="40% - akcent 1 3 2 4 3 3" xfId="10132"/>
    <cellStyle name="40% - akcent 1 3 2 4 3 3 2" xfId="10133"/>
    <cellStyle name="40% - akcent 1 3 2 4 3 3 2 2" xfId="10134"/>
    <cellStyle name="40% - akcent 1 3 2 4 3 3 2 3" xfId="10135"/>
    <cellStyle name="40% - akcent 1 3 2 4 3 3 3" xfId="10136"/>
    <cellStyle name="40% - akcent 1 3 2 4 3 3 4" xfId="10137"/>
    <cellStyle name="40% - akcent 1 3 2 4 3 4" xfId="10138"/>
    <cellStyle name="40% - akcent 1 3 2 4 3 4 2" xfId="10139"/>
    <cellStyle name="40% - akcent 1 3 2 4 3 4 2 2" xfId="10140"/>
    <cellStyle name="40% - akcent 1 3 2 4 3 4 2 3" xfId="10141"/>
    <cellStyle name="40% - akcent 1 3 2 4 3 4 3" xfId="10142"/>
    <cellStyle name="40% - akcent 1 3 2 4 3 4 4" xfId="10143"/>
    <cellStyle name="40% - akcent 1 3 2 4 3 5" xfId="10144"/>
    <cellStyle name="40% - akcent 1 3 2 4 3 5 2" xfId="10145"/>
    <cellStyle name="40% - akcent 1 3 2 4 3 5 3" xfId="10146"/>
    <cellStyle name="40% - akcent 1 3 2 4 3 6" xfId="10147"/>
    <cellStyle name="40% - akcent 1 3 2 4 3 7" xfId="10148"/>
    <cellStyle name="40% - akcent 1 3 2 4 4" xfId="10149"/>
    <cellStyle name="40% - akcent 1 3 2 4 4 2" xfId="10150"/>
    <cellStyle name="40% - akcent 1 3 2 4 4 2 2" xfId="10151"/>
    <cellStyle name="40% - akcent 1 3 2 4 4 2 3" xfId="10152"/>
    <cellStyle name="40% - akcent 1 3 2 4 4 3" xfId="10153"/>
    <cellStyle name="40% - akcent 1 3 2 4 4 4" xfId="10154"/>
    <cellStyle name="40% - akcent 1 3 2 4 5" xfId="10155"/>
    <cellStyle name="40% - akcent 1 3 2 4 5 2" xfId="10156"/>
    <cellStyle name="40% - akcent 1 3 2 4 5 2 2" xfId="10157"/>
    <cellStyle name="40% - akcent 1 3 2 4 5 2 3" xfId="10158"/>
    <cellStyle name="40% - akcent 1 3 2 4 5 3" xfId="10159"/>
    <cellStyle name="40% - akcent 1 3 2 4 5 4" xfId="10160"/>
    <cellStyle name="40% - akcent 1 3 2 4 6" xfId="10161"/>
    <cellStyle name="40% - akcent 1 3 2 4 6 2" xfId="10162"/>
    <cellStyle name="40% - akcent 1 3 2 4 6 2 2" xfId="10163"/>
    <cellStyle name="40% - akcent 1 3 2 4 6 2 3" xfId="10164"/>
    <cellStyle name="40% - akcent 1 3 2 4 6 3" xfId="10165"/>
    <cellStyle name="40% - akcent 1 3 2 4 6 4" xfId="10166"/>
    <cellStyle name="40% - akcent 1 3 2 4 7" xfId="10167"/>
    <cellStyle name="40% - akcent 1 3 2 4 7 2" xfId="10168"/>
    <cellStyle name="40% - akcent 1 3 2 4 7 3" xfId="10169"/>
    <cellStyle name="40% - akcent 1 3 2 4 8" xfId="10170"/>
    <cellStyle name="40% - akcent 1 3 2 4 9" xfId="10171"/>
    <cellStyle name="40% - akcent 1 3 2 5" xfId="10172"/>
    <cellStyle name="40% - akcent 1 3 2 5 2" xfId="10173"/>
    <cellStyle name="40% - akcent 1 3 2 5 2 2" xfId="10174"/>
    <cellStyle name="40% - akcent 1 3 2 5 2 2 2" xfId="10175"/>
    <cellStyle name="40% - akcent 1 3 2 5 2 2 3" xfId="10176"/>
    <cellStyle name="40% - akcent 1 3 2 5 2 3" xfId="10177"/>
    <cellStyle name="40% - akcent 1 3 2 5 2 4" xfId="10178"/>
    <cellStyle name="40% - akcent 1 3 2 5 3" xfId="10179"/>
    <cellStyle name="40% - akcent 1 3 2 5 3 2" xfId="10180"/>
    <cellStyle name="40% - akcent 1 3 2 5 3 2 2" xfId="10181"/>
    <cellStyle name="40% - akcent 1 3 2 5 3 2 3" xfId="10182"/>
    <cellStyle name="40% - akcent 1 3 2 5 3 3" xfId="10183"/>
    <cellStyle name="40% - akcent 1 3 2 5 3 4" xfId="10184"/>
    <cellStyle name="40% - akcent 1 3 2 5 4" xfId="10185"/>
    <cellStyle name="40% - akcent 1 3 2 5 4 2" xfId="10186"/>
    <cellStyle name="40% - akcent 1 3 2 5 4 2 2" xfId="10187"/>
    <cellStyle name="40% - akcent 1 3 2 5 4 2 3" xfId="10188"/>
    <cellStyle name="40% - akcent 1 3 2 5 4 3" xfId="10189"/>
    <cellStyle name="40% - akcent 1 3 2 5 4 4" xfId="10190"/>
    <cellStyle name="40% - akcent 1 3 2 5 5" xfId="10191"/>
    <cellStyle name="40% - akcent 1 3 2 5 5 2" xfId="10192"/>
    <cellStyle name="40% - akcent 1 3 2 5 5 3" xfId="10193"/>
    <cellStyle name="40% - akcent 1 3 2 5 6" xfId="10194"/>
    <cellStyle name="40% - akcent 1 3 2 5 7" xfId="10195"/>
    <cellStyle name="40% - akcent 1 3 2 6" xfId="10196"/>
    <cellStyle name="40% - akcent 1 3 2 6 2" xfId="10197"/>
    <cellStyle name="40% - akcent 1 3 2 6 2 2" xfId="10198"/>
    <cellStyle name="40% - akcent 1 3 2 6 2 2 2" xfId="10199"/>
    <cellStyle name="40% - akcent 1 3 2 6 2 2 3" xfId="10200"/>
    <cellStyle name="40% - akcent 1 3 2 6 2 3" xfId="10201"/>
    <cellStyle name="40% - akcent 1 3 2 6 2 4" xfId="10202"/>
    <cellStyle name="40% - akcent 1 3 2 6 3" xfId="10203"/>
    <cellStyle name="40% - akcent 1 3 2 6 3 2" xfId="10204"/>
    <cellStyle name="40% - akcent 1 3 2 6 3 2 2" xfId="10205"/>
    <cellStyle name="40% - akcent 1 3 2 6 3 2 3" xfId="10206"/>
    <cellStyle name="40% - akcent 1 3 2 6 3 3" xfId="10207"/>
    <cellStyle name="40% - akcent 1 3 2 6 3 4" xfId="10208"/>
    <cellStyle name="40% - akcent 1 3 2 6 4" xfId="10209"/>
    <cellStyle name="40% - akcent 1 3 2 6 4 2" xfId="10210"/>
    <cellStyle name="40% - akcent 1 3 2 6 4 2 2" xfId="10211"/>
    <cellStyle name="40% - akcent 1 3 2 6 4 2 3" xfId="10212"/>
    <cellStyle name="40% - akcent 1 3 2 6 4 3" xfId="10213"/>
    <cellStyle name="40% - akcent 1 3 2 6 4 4" xfId="10214"/>
    <cellStyle name="40% - akcent 1 3 2 6 5" xfId="10215"/>
    <cellStyle name="40% - akcent 1 3 2 6 5 2" xfId="10216"/>
    <cellStyle name="40% - akcent 1 3 2 6 5 3" xfId="10217"/>
    <cellStyle name="40% - akcent 1 3 2 6 6" xfId="10218"/>
    <cellStyle name="40% - akcent 1 3 2 6 7" xfId="10219"/>
    <cellStyle name="40% - akcent 1 3 2 7" xfId="10220"/>
    <cellStyle name="40% - akcent 1 3 2 7 2" xfId="10221"/>
    <cellStyle name="40% - akcent 1 3 2 7 2 2" xfId="10222"/>
    <cellStyle name="40% - akcent 1 3 2 7 2 2 2" xfId="10223"/>
    <cellStyle name="40% - akcent 1 3 2 7 2 2 3" xfId="10224"/>
    <cellStyle name="40% - akcent 1 3 2 7 2 3" xfId="10225"/>
    <cellStyle name="40% - akcent 1 3 2 7 2 4" xfId="10226"/>
    <cellStyle name="40% - akcent 1 3 2 7 3" xfId="10227"/>
    <cellStyle name="40% - akcent 1 3 2 7 3 2" xfId="10228"/>
    <cellStyle name="40% - akcent 1 3 2 7 3 3" xfId="10229"/>
    <cellStyle name="40% - akcent 1 3 2 7 4" xfId="10230"/>
    <cellStyle name="40% - akcent 1 3 2 7 5" xfId="10231"/>
    <cellStyle name="40% - akcent 1 3 2 8" xfId="10232"/>
    <cellStyle name="40% - akcent 1 3 2 8 2" xfId="10233"/>
    <cellStyle name="40% - akcent 1 3 2 8 2 2" xfId="10234"/>
    <cellStyle name="40% - akcent 1 3 2 8 2 3" xfId="10235"/>
    <cellStyle name="40% - akcent 1 3 2 8 3" xfId="10236"/>
    <cellStyle name="40% - akcent 1 3 2 8 4" xfId="10237"/>
    <cellStyle name="40% - akcent 1 3 2 9" xfId="10238"/>
    <cellStyle name="40% - akcent 1 3 2 9 2" xfId="10239"/>
    <cellStyle name="40% - akcent 1 3 2 9 2 2" xfId="10240"/>
    <cellStyle name="40% - akcent 1 3 2 9 2 3" xfId="10241"/>
    <cellStyle name="40% - akcent 1 3 2 9 3" xfId="10242"/>
    <cellStyle name="40% - akcent 1 3 2 9 4" xfId="10243"/>
    <cellStyle name="40% - akcent 1 3 3" xfId="10244"/>
    <cellStyle name="40% - akcent 1 3 3 10" xfId="10245"/>
    <cellStyle name="40% - akcent 1 3 3 11" xfId="10246"/>
    <cellStyle name="40% - akcent 1 3 3 2" xfId="10247"/>
    <cellStyle name="40% - akcent 1 3 3 2 10" xfId="10248"/>
    <cellStyle name="40% - akcent 1 3 3 2 2" xfId="10249"/>
    <cellStyle name="40% - akcent 1 3 3 2 2 2" xfId="10250"/>
    <cellStyle name="40% - akcent 1 3 3 2 2 2 2" xfId="10251"/>
    <cellStyle name="40% - akcent 1 3 3 2 2 2 2 2" xfId="10252"/>
    <cellStyle name="40% - akcent 1 3 3 2 2 2 2 3" xfId="10253"/>
    <cellStyle name="40% - akcent 1 3 3 2 2 2 3" xfId="10254"/>
    <cellStyle name="40% - akcent 1 3 3 2 2 2 4" xfId="10255"/>
    <cellStyle name="40% - akcent 1 3 3 2 2 3" xfId="10256"/>
    <cellStyle name="40% - akcent 1 3 3 2 2 3 2" xfId="10257"/>
    <cellStyle name="40% - akcent 1 3 3 2 2 3 2 2" xfId="10258"/>
    <cellStyle name="40% - akcent 1 3 3 2 2 3 2 3" xfId="10259"/>
    <cellStyle name="40% - akcent 1 3 3 2 2 3 3" xfId="10260"/>
    <cellStyle name="40% - akcent 1 3 3 2 2 3 4" xfId="10261"/>
    <cellStyle name="40% - akcent 1 3 3 2 2 4" xfId="10262"/>
    <cellStyle name="40% - akcent 1 3 3 2 2 4 2" xfId="10263"/>
    <cellStyle name="40% - akcent 1 3 3 2 2 4 2 2" xfId="10264"/>
    <cellStyle name="40% - akcent 1 3 3 2 2 4 2 3" xfId="10265"/>
    <cellStyle name="40% - akcent 1 3 3 2 2 4 3" xfId="10266"/>
    <cellStyle name="40% - akcent 1 3 3 2 2 4 4" xfId="10267"/>
    <cellStyle name="40% - akcent 1 3 3 2 2 5" xfId="10268"/>
    <cellStyle name="40% - akcent 1 3 3 2 2 5 2" xfId="10269"/>
    <cellStyle name="40% - akcent 1 3 3 2 2 5 3" xfId="10270"/>
    <cellStyle name="40% - akcent 1 3 3 2 2 6" xfId="10271"/>
    <cellStyle name="40% - akcent 1 3 3 2 2 7" xfId="10272"/>
    <cellStyle name="40% - akcent 1 3 3 2 3" xfId="10273"/>
    <cellStyle name="40% - akcent 1 3 3 2 3 2" xfId="10274"/>
    <cellStyle name="40% - akcent 1 3 3 2 3 2 2" xfId="10275"/>
    <cellStyle name="40% - akcent 1 3 3 2 3 2 2 2" xfId="10276"/>
    <cellStyle name="40% - akcent 1 3 3 2 3 2 2 3" xfId="10277"/>
    <cellStyle name="40% - akcent 1 3 3 2 3 2 3" xfId="10278"/>
    <cellStyle name="40% - akcent 1 3 3 2 3 2 4" xfId="10279"/>
    <cellStyle name="40% - akcent 1 3 3 2 3 3" xfId="10280"/>
    <cellStyle name="40% - akcent 1 3 3 2 3 3 2" xfId="10281"/>
    <cellStyle name="40% - akcent 1 3 3 2 3 3 2 2" xfId="10282"/>
    <cellStyle name="40% - akcent 1 3 3 2 3 3 2 3" xfId="10283"/>
    <cellStyle name="40% - akcent 1 3 3 2 3 3 3" xfId="10284"/>
    <cellStyle name="40% - akcent 1 3 3 2 3 3 4" xfId="10285"/>
    <cellStyle name="40% - akcent 1 3 3 2 3 4" xfId="10286"/>
    <cellStyle name="40% - akcent 1 3 3 2 3 4 2" xfId="10287"/>
    <cellStyle name="40% - akcent 1 3 3 2 3 4 2 2" xfId="10288"/>
    <cellStyle name="40% - akcent 1 3 3 2 3 4 2 3" xfId="10289"/>
    <cellStyle name="40% - akcent 1 3 3 2 3 4 3" xfId="10290"/>
    <cellStyle name="40% - akcent 1 3 3 2 3 4 4" xfId="10291"/>
    <cellStyle name="40% - akcent 1 3 3 2 3 5" xfId="10292"/>
    <cellStyle name="40% - akcent 1 3 3 2 3 5 2" xfId="10293"/>
    <cellStyle name="40% - akcent 1 3 3 2 3 5 3" xfId="10294"/>
    <cellStyle name="40% - akcent 1 3 3 2 3 6" xfId="10295"/>
    <cellStyle name="40% - akcent 1 3 3 2 3 7" xfId="10296"/>
    <cellStyle name="40% - akcent 1 3 3 2 4" xfId="10297"/>
    <cellStyle name="40% - akcent 1 3 3 2 4 2" xfId="10298"/>
    <cellStyle name="40% - akcent 1 3 3 2 4 2 2" xfId="10299"/>
    <cellStyle name="40% - akcent 1 3 3 2 4 2 2 2" xfId="10300"/>
    <cellStyle name="40% - akcent 1 3 3 2 4 2 2 3" xfId="10301"/>
    <cellStyle name="40% - akcent 1 3 3 2 4 2 3" xfId="10302"/>
    <cellStyle name="40% - akcent 1 3 3 2 4 2 4" xfId="10303"/>
    <cellStyle name="40% - akcent 1 3 3 2 4 3" xfId="10304"/>
    <cellStyle name="40% - akcent 1 3 3 2 4 3 2" xfId="10305"/>
    <cellStyle name="40% - akcent 1 3 3 2 4 3 3" xfId="10306"/>
    <cellStyle name="40% - akcent 1 3 3 2 4 4" xfId="10307"/>
    <cellStyle name="40% - akcent 1 3 3 2 4 5" xfId="10308"/>
    <cellStyle name="40% - akcent 1 3 3 2 5" xfId="10309"/>
    <cellStyle name="40% - akcent 1 3 3 2 5 2" xfId="10310"/>
    <cellStyle name="40% - akcent 1 3 3 2 5 2 2" xfId="10311"/>
    <cellStyle name="40% - akcent 1 3 3 2 5 2 3" xfId="10312"/>
    <cellStyle name="40% - akcent 1 3 3 2 5 3" xfId="10313"/>
    <cellStyle name="40% - akcent 1 3 3 2 5 4" xfId="10314"/>
    <cellStyle name="40% - akcent 1 3 3 2 6" xfId="10315"/>
    <cellStyle name="40% - akcent 1 3 3 2 6 2" xfId="10316"/>
    <cellStyle name="40% - akcent 1 3 3 2 6 2 2" xfId="10317"/>
    <cellStyle name="40% - akcent 1 3 3 2 6 2 3" xfId="10318"/>
    <cellStyle name="40% - akcent 1 3 3 2 6 3" xfId="10319"/>
    <cellStyle name="40% - akcent 1 3 3 2 6 4" xfId="10320"/>
    <cellStyle name="40% - akcent 1 3 3 2 7" xfId="10321"/>
    <cellStyle name="40% - akcent 1 3 3 2 7 2" xfId="10322"/>
    <cellStyle name="40% - akcent 1 3 3 2 7 2 2" xfId="10323"/>
    <cellStyle name="40% - akcent 1 3 3 2 7 2 3" xfId="10324"/>
    <cellStyle name="40% - akcent 1 3 3 2 7 3" xfId="10325"/>
    <cellStyle name="40% - akcent 1 3 3 2 7 4" xfId="10326"/>
    <cellStyle name="40% - akcent 1 3 3 2 8" xfId="10327"/>
    <cellStyle name="40% - akcent 1 3 3 2 8 2" xfId="10328"/>
    <cellStyle name="40% - akcent 1 3 3 2 8 3" xfId="10329"/>
    <cellStyle name="40% - akcent 1 3 3 2 9" xfId="10330"/>
    <cellStyle name="40% - akcent 1 3 3 3" xfId="10331"/>
    <cellStyle name="40% - akcent 1 3 3 3 2" xfId="10332"/>
    <cellStyle name="40% - akcent 1 3 3 3 2 2" xfId="10333"/>
    <cellStyle name="40% - akcent 1 3 3 3 2 2 2" xfId="10334"/>
    <cellStyle name="40% - akcent 1 3 3 3 2 2 3" xfId="10335"/>
    <cellStyle name="40% - akcent 1 3 3 3 2 3" xfId="10336"/>
    <cellStyle name="40% - akcent 1 3 3 3 2 4" xfId="10337"/>
    <cellStyle name="40% - akcent 1 3 3 3 3" xfId="10338"/>
    <cellStyle name="40% - akcent 1 3 3 3 3 2" xfId="10339"/>
    <cellStyle name="40% - akcent 1 3 3 3 3 2 2" xfId="10340"/>
    <cellStyle name="40% - akcent 1 3 3 3 3 2 3" xfId="10341"/>
    <cellStyle name="40% - akcent 1 3 3 3 3 3" xfId="10342"/>
    <cellStyle name="40% - akcent 1 3 3 3 3 4" xfId="10343"/>
    <cellStyle name="40% - akcent 1 3 3 3 4" xfId="10344"/>
    <cellStyle name="40% - akcent 1 3 3 3 4 2" xfId="10345"/>
    <cellStyle name="40% - akcent 1 3 3 3 4 2 2" xfId="10346"/>
    <cellStyle name="40% - akcent 1 3 3 3 4 2 3" xfId="10347"/>
    <cellStyle name="40% - akcent 1 3 3 3 4 3" xfId="10348"/>
    <cellStyle name="40% - akcent 1 3 3 3 4 4" xfId="10349"/>
    <cellStyle name="40% - akcent 1 3 3 3 5" xfId="10350"/>
    <cellStyle name="40% - akcent 1 3 3 3 5 2" xfId="10351"/>
    <cellStyle name="40% - akcent 1 3 3 3 5 3" xfId="10352"/>
    <cellStyle name="40% - akcent 1 3 3 3 6" xfId="10353"/>
    <cellStyle name="40% - akcent 1 3 3 3 7" xfId="10354"/>
    <cellStyle name="40% - akcent 1 3 3 4" xfId="10355"/>
    <cellStyle name="40% - akcent 1 3 3 4 2" xfId="10356"/>
    <cellStyle name="40% - akcent 1 3 3 4 2 2" xfId="10357"/>
    <cellStyle name="40% - akcent 1 3 3 4 2 2 2" xfId="10358"/>
    <cellStyle name="40% - akcent 1 3 3 4 2 2 3" xfId="10359"/>
    <cellStyle name="40% - akcent 1 3 3 4 2 3" xfId="10360"/>
    <cellStyle name="40% - akcent 1 3 3 4 2 4" xfId="10361"/>
    <cellStyle name="40% - akcent 1 3 3 4 3" xfId="10362"/>
    <cellStyle name="40% - akcent 1 3 3 4 3 2" xfId="10363"/>
    <cellStyle name="40% - akcent 1 3 3 4 3 2 2" xfId="10364"/>
    <cellStyle name="40% - akcent 1 3 3 4 3 2 3" xfId="10365"/>
    <cellStyle name="40% - akcent 1 3 3 4 3 3" xfId="10366"/>
    <cellStyle name="40% - akcent 1 3 3 4 3 4" xfId="10367"/>
    <cellStyle name="40% - akcent 1 3 3 4 4" xfId="10368"/>
    <cellStyle name="40% - akcent 1 3 3 4 4 2" xfId="10369"/>
    <cellStyle name="40% - akcent 1 3 3 4 4 2 2" xfId="10370"/>
    <cellStyle name="40% - akcent 1 3 3 4 4 2 3" xfId="10371"/>
    <cellStyle name="40% - akcent 1 3 3 4 4 3" xfId="10372"/>
    <cellStyle name="40% - akcent 1 3 3 4 4 4" xfId="10373"/>
    <cellStyle name="40% - akcent 1 3 3 4 5" xfId="10374"/>
    <cellStyle name="40% - akcent 1 3 3 4 5 2" xfId="10375"/>
    <cellStyle name="40% - akcent 1 3 3 4 5 3" xfId="10376"/>
    <cellStyle name="40% - akcent 1 3 3 4 6" xfId="10377"/>
    <cellStyle name="40% - akcent 1 3 3 4 7" xfId="10378"/>
    <cellStyle name="40% - akcent 1 3 3 5" xfId="10379"/>
    <cellStyle name="40% - akcent 1 3 3 5 2" xfId="10380"/>
    <cellStyle name="40% - akcent 1 3 3 5 2 2" xfId="10381"/>
    <cellStyle name="40% - akcent 1 3 3 5 2 2 2" xfId="10382"/>
    <cellStyle name="40% - akcent 1 3 3 5 2 2 3" xfId="10383"/>
    <cellStyle name="40% - akcent 1 3 3 5 2 3" xfId="10384"/>
    <cellStyle name="40% - akcent 1 3 3 5 2 4" xfId="10385"/>
    <cellStyle name="40% - akcent 1 3 3 5 3" xfId="10386"/>
    <cellStyle name="40% - akcent 1 3 3 5 3 2" xfId="10387"/>
    <cellStyle name="40% - akcent 1 3 3 5 3 3" xfId="10388"/>
    <cellStyle name="40% - akcent 1 3 3 5 4" xfId="10389"/>
    <cellStyle name="40% - akcent 1 3 3 5 5" xfId="10390"/>
    <cellStyle name="40% - akcent 1 3 3 6" xfId="10391"/>
    <cellStyle name="40% - akcent 1 3 3 6 2" xfId="10392"/>
    <cellStyle name="40% - akcent 1 3 3 6 2 2" xfId="10393"/>
    <cellStyle name="40% - akcent 1 3 3 6 2 3" xfId="10394"/>
    <cellStyle name="40% - akcent 1 3 3 6 3" xfId="10395"/>
    <cellStyle name="40% - akcent 1 3 3 6 4" xfId="10396"/>
    <cellStyle name="40% - akcent 1 3 3 7" xfId="10397"/>
    <cellStyle name="40% - akcent 1 3 3 7 2" xfId="10398"/>
    <cellStyle name="40% - akcent 1 3 3 7 2 2" xfId="10399"/>
    <cellStyle name="40% - akcent 1 3 3 7 2 3" xfId="10400"/>
    <cellStyle name="40% - akcent 1 3 3 7 3" xfId="10401"/>
    <cellStyle name="40% - akcent 1 3 3 7 4" xfId="10402"/>
    <cellStyle name="40% - akcent 1 3 3 8" xfId="10403"/>
    <cellStyle name="40% - akcent 1 3 3 8 2" xfId="10404"/>
    <cellStyle name="40% - akcent 1 3 3 8 2 2" xfId="10405"/>
    <cellStyle name="40% - akcent 1 3 3 8 2 3" xfId="10406"/>
    <cellStyle name="40% - akcent 1 3 3 8 3" xfId="10407"/>
    <cellStyle name="40% - akcent 1 3 3 8 4" xfId="10408"/>
    <cellStyle name="40% - akcent 1 3 3 9" xfId="10409"/>
    <cellStyle name="40% - akcent 1 3 3 9 2" xfId="10410"/>
    <cellStyle name="40% - akcent 1 3 3 9 3" xfId="10411"/>
    <cellStyle name="40% - akcent 1 3 4" xfId="10412"/>
    <cellStyle name="40% - akcent 1 3 4 10" xfId="10413"/>
    <cellStyle name="40% - akcent 1 3 4 2" xfId="10414"/>
    <cellStyle name="40% - akcent 1 3 4 2 2" xfId="10415"/>
    <cellStyle name="40% - akcent 1 3 4 2 2 2" xfId="10416"/>
    <cellStyle name="40% - akcent 1 3 4 2 2 2 2" xfId="10417"/>
    <cellStyle name="40% - akcent 1 3 4 2 2 2 3" xfId="10418"/>
    <cellStyle name="40% - akcent 1 3 4 2 2 3" xfId="10419"/>
    <cellStyle name="40% - akcent 1 3 4 2 2 4" xfId="10420"/>
    <cellStyle name="40% - akcent 1 3 4 2 3" xfId="10421"/>
    <cellStyle name="40% - akcent 1 3 4 2 3 2" xfId="10422"/>
    <cellStyle name="40% - akcent 1 3 4 2 3 2 2" xfId="10423"/>
    <cellStyle name="40% - akcent 1 3 4 2 3 2 3" xfId="10424"/>
    <cellStyle name="40% - akcent 1 3 4 2 3 3" xfId="10425"/>
    <cellStyle name="40% - akcent 1 3 4 2 3 4" xfId="10426"/>
    <cellStyle name="40% - akcent 1 3 4 2 4" xfId="10427"/>
    <cellStyle name="40% - akcent 1 3 4 2 4 2" xfId="10428"/>
    <cellStyle name="40% - akcent 1 3 4 2 4 2 2" xfId="10429"/>
    <cellStyle name="40% - akcent 1 3 4 2 4 2 3" xfId="10430"/>
    <cellStyle name="40% - akcent 1 3 4 2 4 3" xfId="10431"/>
    <cellStyle name="40% - akcent 1 3 4 2 4 4" xfId="10432"/>
    <cellStyle name="40% - akcent 1 3 4 2 5" xfId="10433"/>
    <cellStyle name="40% - akcent 1 3 4 2 5 2" xfId="10434"/>
    <cellStyle name="40% - akcent 1 3 4 2 5 3" xfId="10435"/>
    <cellStyle name="40% - akcent 1 3 4 2 6" xfId="10436"/>
    <cellStyle name="40% - akcent 1 3 4 2 7" xfId="10437"/>
    <cellStyle name="40% - akcent 1 3 4 3" xfId="10438"/>
    <cellStyle name="40% - akcent 1 3 4 3 2" xfId="10439"/>
    <cellStyle name="40% - akcent 1 3 4 3 2 2" xfId="10440"/>
    <cellStyle name="40% - akcent 1 3 4 3 2 2 2" xfId="10441"/>
    <cellStyle name="40% - akcent 1 3 4 3 2 2 3" xfId="10442"/>
    <cellStyle name="40% - akcent 1 3 4 3 2 3" xfId="10443"/>
    <cellStyle name="40% - akcent 1 3 4 3 2 4" xfId="10444"/>
    <cellStyle name="40% - akcent 1 3 4 3 3" xfId="10445"/>
    <cellStyle name="40% - akcent 1 3 4 3 3 2" xfId="10446"/>
    <cellStyle name="40% - akcent 1 3 4 3 3 2 2" xfId="10447"/>
    <cellStyle name="40% - akcent 1 3 4 3 3 2 3" xfId="10448"/>
    <cellStyle name="40% - akcent 1 3 4 3 3 3" xfId="10449"/>
    <cellStyle name="40% - akcent 1 3 4 3 3 4" xfId="10450"/>
    <cellStyle name="40% - akcent 1 3 4 3 4" xfId="10451"/>
    <cellStyle name="40% - akcent 1 3 4 3 4 2" xfId="10452"/>
    <cellStyle name="40% - akcent 1 3 4 3 4 2 2" xfId="10453"/>
    <cellStyle name="40% - akcent 1 3 4 3 4 2 3" xfId="10454"/>
    <cellStyle name="40% - akcent 1 3 4 3 4 3" xfId="10455"/>
    <cellStyle name="40% - akcent 1 3 4 3 4 4" xfId="10456"/>
    <cellStyle name="40% - akcent 1 3 4 3 5" xfId="10457"/>
    <cellStyle name="40% - akcent 1 3 4 3 5 2" xfId="10458"/>
    <cellStyle name="40% - akcent 1 3 4 3 5 3" xfId="10459"/>
    <cellStyle name="40% - akcent 1 3 4 3 6" xfId="10460"/>
    <cellStyle name="40% - akcent 1 3 4 3 7" xfId="10461"/>
    <cellStyle name="40% - akcent 1 3 4 4" xfId="10462"/>
    <cellStyle name="40% - akcent 1 3 4 4 2" xfId="10463"/>
    <cellStyle name="40% - akcent 1 3 4 4 2 2" xfId="10464"/>
    <cellStyle name="40% - akcent 1 3 4 4 2 2 2" xfId="10465"/>
    <cellStyle name="40% - akcent 1 3 4 4 2 2 3" xfId="10466"/>
    <cellStyle name="40% - akcent 1 3 4 4 2 3" xfId="10467"/>
    <cellStyle name="40% - akcent 1 3 4 4 2 4" xfId="10468"/>
    <cellStyle name="40% - akcent 1 3 4 4 3" xfId="10469"/>
    <cellStyle name="40% - akcent 1 3 4 4 3 2" xfId="10470"/>
    <cellStyle name="40% - akcent 1 3 4 4 3 3" xfId="10471"/>
    <cellStyle name="40% - akcent 1 3 4 4 4" xfId="10472"/>
    <cellStyle name="40% - akcent 1 3 4 4 5" xfId="10473"/>
    <cellStyle name="40% - akcent 1 3 4 5" xfId="10474"/>
    <cellStyle name="40% - akcent 1 3 4 5 2" xfId="10475"/>
    <cellStyle name="40% - akcent 1 3 4 5 2 2" xfId="10476"/>
    <cellStyle name="40% - akcent 1 3 4 5 2 3" xfId="10477"/>
    <cellStyle name="40% - akcent 1 3 4 5 3" xfId="10478"/>
    <cellStyle name="40% - akcent 1 3 4 5 4" xfId="10479"/>
    <cellStyle name="40% - akcent 1 3 4 6" xfId="10480"/>
    <cellStyle name="40% - akcent 1 3 4 6 2" xfId="10481"/>
    <cellStyle name="40% - akcent 1 3 4 6 2 2" xfId="10482"/>
    <cellStyle name="40% - akcent 1 3 4 6 2 3" xfId="10483"/>
    <cellStyle name="40% - akcent 1 3 4 6 3" xfId="10484"/>
    <cellStyle name="40% - akcent 1 3 4 6 4" xfId="10485"/>
    <cellStyle name="40% - akcent 1 3 4 7" xfId="10486"/>
    <cellStyle name="40% - akcent 1 3 4 7 2" xfId="10487"/>
    <cellStyle name="40% - akcent 1 3 4 7 2 2" xfId="10488"/>
    <cellStyle name="40% - akcent 1 3 4 7 2 3" xfId="10489"/>
    <cellStyle name="40% - akcent 1 3 4 7 3" xfId="10490"/>
    <cellStyle name="40% - akcent 1 3 4 7 4" xfId="10491"/>
    <cellStyle name="40% - akcent 1 3 4 8" xfId="10492"/>
    <cellStyle name="40% - akcent 1 3 4 8 2" xfId="10493"/>
    <cellStyle name="40% - akcent 1 3 4 8 3" xfId="10494"/>
    <cellStyle name="40% - akcent 1 3 4 9" xfId="10495"/>
    <cellStyle name="40% - akcent 1 3 5" xfId="10496"/>
    <cellStyle name="40% - akcent 1 3 5 2" xfId="10497"/>
    <cellStyle name="40% - akcent 1 3 5 2 2" xfId="10498"/>
    <cellStyle name="40% - akcent 1 3 5 2 2 2" xfId="10499"/>
    <cellStyle name="40% - akcent 1 3 5 2 2 2 2" xfId="10500"/>
    <cellStyle name="40% - akcent 1 3 5 2 2 2 3" xfId="10501"/>
    <cellStyle name="40% - akcent 1 3 5 2 2 3" xfId="10502"/>
    <cellStyle name="40% - akcent 1 3 5 2 2 4" xfId="10503"/>
    <cellStyle name="40% - akcent 1 3 5 2 3" xfId="10504"/>
    <cellStyle name="40% - akcent 1 3 5 2 3 2" xfId="10505"/>
    <cellStyle name="40% - akcent 1 3 5 2 3 2 2" xfId="10506"/>
    <cellStyle name="40% - akcent 1 3 5 2 3 2 3" xfId="10507"/>
    <cellStyle name="40% - akcent 1 3 5 2 3 3" xfId="10508"/>
    <cellStyle name="40% - akcent 1 3 5 2 3 4" xfId="10509"/>
    <cellStyle name="40% - akcent 1 3 5 2 4" xfId="10510"/>
    <cellStyle name="40% - akcent 1 3 5 2 4 2" xfId="10511"/>
    <cellStyle name="40% - akcent 1 3 5 2 4 2 2" xfId="10512"/>
    <cellStyle name="40% - akcent 1 3 5 2 4 2 3" xfId="10513"/>
    <cellStyle name="40% - akcent 1 3 5 2 4 3" xfId="10514"/>
    <cellStyle name="40% - akcent 1 3 5 2 4 4" xfId="10515"/>
    <cellStyle name="40% - akcent 1 3 5 2 5" xfId="10516"/>
    <cellStyle name="40% - akcent 1 3 5 2 5 2" xfId="10517"/>
    <cellStyle name="40% - akcent 1 3 5 2 5 3" xfId="10518"/>
    <cellStyle name="40% - akcent 1 3 5 2 6" xfId="10519"/>
    <cellStyle name="40% - akcent 1 3 5 2 7" xfId="10520"/>
    <cellStyle name="40% - akcent 1 3 5 3" xfId="10521"/>
    <cellStyle name="40% - akcent 1 3 5 3 2" xfId="10522"/>
    <cellStyle name="40% - akcent 1 3 5 3 2 2" xfId="10523"/>
    <cellStyle name="40% - akcent 1 3 5 3 2 2 2" xfId="10524"/>
    <cellStyle name="40% - akcent 1 3 5 3 2 2 3" xfId="10525"/>
    <cellStyle name="40% - akcent 1 3 5 3 2 3" xfId="10526"/>
    <cellStyle name="40% - akcent 1 3 5 3 2 4" xfId="10527"/>
    <cellStyle name="40% - akcent 1 3 5 3 3" xfId="10528"/>
    <cellStyle name="40% - akcent 1 3 5 3 3 2" xfId="10529"/>
    <cellStyle name="40% - akcent 1 3 5 3 3 2 2" xfId="10530"/>
    <cellStyle name="40% - akcent 1 3 5 3 3 2 3" xfId="10531"/>
    <cellStyle name="40% - akcent 1 3 5 3 3 3" xfId="10532"/>
    <cellStyle name="40% - akcent 1 3 5 3 3 4" xfId="10533"/>
    <cellStyle name="40% - akcent 1 3 5 3 4" xfId="10534"/>
    <cellStyle name="40% - akcent 1 3 5 3 4 2" xfId="10535"/>
    <cellStyle name="40% - akcent 1 3 5 3 4 2 2" xfId="10536"/>
    <cellStyle name="40% - akcent 1 3 5 3 4 2 3" xfId="10537"/>
    <cellStyle name="40% - akcent 1 3 5 3 4 3" xfId="10538"/>
    <cellStyle name="40% - akcent 1 3 5 3 4 4" xfId="10539"/>
    <cellStyle name="40% - akcent 1 3 5 3 5" xfId="10540"/>
    <cellStyle name="40% - akcent 1 3 5 3 5 2" xfId="10541"/>
    <cellStyle name="40% - akcent 1 3 5 3 5 3" xfId="10542"/>
    <cellStyle name="40% - akcent 1 3 5 3 6" xfId="10543"/>
    <cellStyle name="40% - akcent 1 3 5 3 7" xfId="10544"/>
    <cellStyle name="40% - akcent 1 3 5 4" xfId="10545"/>
    <cellStyle name="40% - akcent 1 3 5 4 2" xfId="10546"/>
    <cellStyle name="40% - akcent 1 3 5 4 2 2" xfId="10547"/>
    <cellStyle name="40% - akcent 1 3 5 4 2 3" xfId="10548"/>
    <cellStyle name="40% - akcent 1 3 5 4 3" xfId="10549"/>
    <cellStyle name="40% - akcent 1 3 5 4 4" xfId="10550"/>
    <cellStyle name="40% - akcent 1 3 5 5" xfId="10551"/>
    <cellStyle name="40% - akcent 1 3 5 5 2" xfId="10552"/>
    <cellStyle name="40% - akcent 1 3 5 5 2 2" xfId="10553"/>
    <cellStyle name="40% - akcent 1 3 5 5 2 3" xfId="10554"/>
    <cellStyle name="40% - akcent 1 3 5 5 3" xfId="10555"/>
    <cellStyle name="40% - akcent 1 3 5 5 4" xfId="10556"/>
    <cellStyle name="40% - akcent 1 3 5 6" xfId="10557"/>
    <cellStyle name="40% - akcent 1 3 5 6 2" xfId="10558"/>
    <cellStyle name="40% - akcent 1 3 5 6 2 2" xfId="10559"/>
    <cellStyle name="40% - akcent 1 3 5 6 2 3" xfId="10560"/>
    <cellStyle name="40% - akcent 1 3 5 6 3" xfId="10561"/>
    <cellStyle name="40% - akcent 1 3 5 6 4" xfId="10562"/>
    <cellStyle name="40% - akcent 1 3 5 7" xfId="10563"/>
    <cellStyle name="40% - akcent 1 3 5 7 2" xfId="10564"/>
    <cellStyle name="40% - akcent 1 3 5 7 3" xfId="10565"/>
    <cellStyle name="40% - akcent 1 3 5 8" xfId="10566"/>
    <cellStyle name="40% - akcent 1 3 5 9" xfId="10567"/>
    <cellStyle name="40% - akcent 1 3 6" xfId="10568"/>
    <cellStyle name="40% - akcent 1 3 6 2" xfId="10569"/>
    <cellStyle name="40% - akcent 1 3 6 2 2" xfId="10570"/>
    <cellStyle name="40% - akcent 1 3 6 2 2 2" xfId="10571"/>
    <cellStyle name="40% - akcent 1 3 6 2 2 2 2" xfId="10572"/>
    <cellStyle name="40% - akcent 1 3 6 2 2 2 3" xfId="10573"/>
    <cellStyle name="40% - akcent 1 3 6 2 2 3" xfId="10574"/>
    <cellStyle name="40% - akcent 1 3 6 2 2 4" xfId="10575"/>
    <cellStyle name="40% - akcent 1 3 6 2 3" xfId="10576"/>
    <cellStyle name="40% - akcent 1 3 6 2 3 2" xfId="10577"/>
    <cellStyle name="40% - akcent 1 3 6 2 3 2 2" xfId="10578"/>
    <cellStyle name="40% - akcent 1 3 6 2 3 2 3" xfId="10579"/>
    <cellStyle name="40% - akcent 1 3 6 2 3 3" xfId="10580"/>
    <cellStyle name="40% - akcent 1 3 6 2 3 4" xfId="10581"/>
    <cellStyle name="40% - akcent 1 3 6 2 4" xfId="10582"/>
    <cellStyle name="40% - akcent 1 3 6 2 4 2" xfId="10583"/>
    <cellStyle name="40% - akcent 1 3 6 2 4 2 2" xfId="10584"/>
    <cellStyle name="40% - akcent 1 3 6 2 4 2 3" xfId="10585"/>
    <cellStyle name="40% - akcent 1 3 6 2 4 3" xfId="10586"/>
    <cellStyle name="40% - akcent 1 3 6 2 4 4" xfId="10587"/>
    <cellStyle name="40% - akcent 1 3 6 2 5" xfId="10588"/>
    <cellStyle name="40% - akcent 1 3 6 2 5 2" xfId="10589"/>
    <cellStyle name="40% - akcent 1 3 6 2 5 3" xfId="10590"/>
    <cellStyle name="40% - akcent 1 3 6 2 6" xfId="10591"/>
    <cellStyle name="40% - akcent 1 3 6 2 7" xfId="10592"/>
    <cellStyle name="40% - akcent 1 3 6 3" xfId="10593"/>
    <cellStyle name="40% - akcent 1 3 6 3 2" xfId="10594"/>
    <cellStyle name="40% - akcent 1 3 6 3 2 2" xfId="10595"/>
    <cellStyle name="40% - akcent 1 3 6 3 2 2 2" xfId="10596"/>
    <cellStyle name="40% - akcent 1 3 6 3 2 2 3" xfId="10597"/>
    <cellStyle name="40% - akcent 1 3 6 3 2 3" xfId="10598"/>
    <cellStyle name="40% - akcent 1 3 6 3 2 4" xfId="10599"/>
    <cellStyle name="40% - akcent 1 3 6 3 3" xfId="10600"/>
    <cellStyle name="40% - akcent 1 3 6 3 3 2" xfId="10601"/>
    <cellStyle name="40% - akcent 1 3 6 3 3 2 2" xfId="10602"/>
    <cellStyle name="40% - akcent 1 3 6 3 3 2 3" xfId="10603"/>
    <cellStyle name="40% - akcent 1 3 6 3 3 3" xfId="10604"/>
    <cellStyle name="40% - akcent 1 3 6 3 3 4" xfId="10605"/>
    <cellStyle name="40% - akcent 1 3 6 3 4" xfId="10606"/>
    <cellStyle name="40% - akcent 1 3 6 3 4 2" xfId="10607"/>
    <cellStyle name="40% - akcent 1 3 6 3 4 2 2" xfId="10608"/>
    <cellStyle name="40% - akcent 1 3 6 3 4 2 3" xfId="10609"/>
    <cellStyle name="40% - akcent 1 3 6 3 4 3" xfId="10610"/>
    <cellStyle name="40% - akcent 1 3 6 3 4 4" xfId="10611"/>
    <cellStyle name="40% - akcent 1 3 6 3 5" xfId="10612"/>
    <cellStyle name="40% - akcent 1 3 6 3 5 2" xfId="10613"/>
    <cellStyle name="40% - akcent 1 3 6 3 5 3" xfId="10614"/>
    <cellStyle name="40% - akcent 1 3 6 3 6" xfId="10615"/>
    <cellStyle name="40% - akcent 1 3 6 3 7" xfId="10616"/>
    <cellStyle name="40% - akcent 1 3 6 4" xfId="10617"/>
    <cellStyle name="40% - akcent 1 3 6 4 2" xfId="10618"/>
    <cellStyle name="40% - akcent 1 3 6 4 2 2" xfId="10619"/>
    <cellStyle name="40% - akcent 1 3 6 4 2 3" xfId="10620"/>
    <cellStyle name="40% - akcent 1 3 6 4 3" xfId="10621"/>
    <cellStyle name="40% - akcent 1 3 6 4 4" xfId="10622"/>
    <cellStyle name="40% - akcent 1 3 6 5" xfId="10623"/>
    <cellStyle name="40% - akcent 1 3 6 5 2" xfId="10624"/>
    <cellStyle name="40% - akcent 1 3 6 5 2 2" xfId="10625"/>
    <cellStyle name="40% - akcent 1 3 6 5 2 3" xfId="10626"/>
    <cellStyle name="40% - akcent 1 3 6 5 3" xfId="10627"/>
    <cellStyle name="40% - akcent 1 3 6 5 4" xfId="10628"/>
    <cellStyle name="40% - akcent 1 3 6 6" xfId="10629"/>
    <cellStyle name="40% - akcent 1 3 6 6 2" xfId="10630"/>
    <cellStyle name="40% - akcent 1 3 6 6 2 2" xfId="10631"/>
    <cellStyle name="40% - akcent 1 3 6 6 2 3" xfId="10632"/>
    <cellStyle name="40% - akcent 1 3 6 6 3" xfId="10633"/>
    <cellStyle name="40% - akcent 1 3 6 6 4" xfId="10634"/>
    <cellStyle name="40% - akcent 1 3 6 7" xfId="10635"/>
    <cellStyle name="40% - akcent 1 3 6 7 2" xfId="10636"/>
    <cellStyle name="40% - akcent 1 3 6 7 3" xfId="10637"/>
    <cellStyle name="40% - akcent 1 3 6 8" xfId="10638"/>
    <cellStyle name="40% - akcent 1 3 6 9" xfId="10639"/>
    <cellStyle name="40% - akcent 1 3 7" xfId="10640"/>
    <cellStyle name="40% - akcent 1 3 7 2" xfId="10641"/>
    <cellStyle name="40% - akcent 1 3 7 2 2" xfId="10642"/>
    <cellStyle name="40% - akcent 1 3 7 2 2 2" xfId="10643"/>
    <cellStyle name="40% - akcent 1 3 7 2 2 2 2" xfId="10644"/>
    <cellStyle name="40% - akcent 1 3 7 2 2 2 3" xfId="10645"/>
    <cellStyle name="40% - akcent 1 3 7 2 2 3" xfId="10646"/>
    <cellStyle name="40% - akcent 1 3 7 2 2 4" xfId="10647"/>
    <cellStyle name="40% - akcent 1 3 7 2 3" xfId="10648"/>
    <cellStyle name="40% - akcent 1 3 7 2 3 2" xfId="10649"/>
    <cellStyle name="40% - akcent 1 3 7 2 3 2 2" xfId="10650"/>
    <cellStyle name="40% - akcent 1 3 7 2 3 2 3" xfId="10651"/>
    <cellStyle name="40% - akcent 1 3 7 2 3 3" xfId="10652"/>
    <cellStyle name="40% - akcent 1 3 7 2 3 4" xfId="10653"/>
    <cellStyle name="40% - akcent 1 3 7 2 4" xfId="10654"/>
    <cellStyle name="40% - akcent 1 3 7 2 4 2" xfId="10655"/>
    <cellStyle name="40% - akcent 1 3 7 2 4 2 2" xfId="10656"/>
    <cellStyle name="40% - akcent 1 3 7 2 4 2 3" xfId="10657"/>
    <cellStyle name="40% - akcent 1 3 7 2 4 3" xfId="10658"/>
    <cellStyle name="40% - akcent 1 3 7 2 4 4" xfId="10659"/>
    <cellStyle name="40% - akcent 1 3 7 2 5" xfId="10660"/>
    <cellStyle name="40% - akcent 1 3 7 2 5 2" xfId="10661"/>
    <cellStyle name="40% - akcent 1 3 7 2 5 3" xfId="10662"/>
    <cellStyle name="40% - akcent 1 3 7 2 6" xfId="10663"/>
    <cellStyle name="40% - akcent 1 3 7 2 7" xfId="10664"/>
    <cellStyle name="40% - akcent 1 3 7 3" xfId="10665"/>
    <cellStyle name="40% - akcent 1 3 7 3 2" xfId="10666"/>
    <cellStyle name="40% - akcent 1 3 7 3 2 2" xfId="10667"/>
    <cellStyle name="40% - akcent 1 3 7 3 2 3" xfId="10668"/>
    <cellStyle name="40% - akcent 1 3 7 3 3" xfId="10669"/>
    <cellStyle name="40% - akcent 1 3 7 3 4" xfId="10670"/>
    <cellStyle name="40% - akcent 1 3 7 4" xfId="10671"/>
    <cellStyle name="40% - akcent 1 3 7 4 2" xfId="10672"/>
    <cellStyle name="40% - akcent 1 3 7 4 2 2" xfId="10673"/>
    <cellStyle name="40% - akcent 1 3 7 4 2 3" xfId="10674"/>
    <cellStyle name="40% - akcent 1 3 7 4 3" xfId="10675"/>
    <cellStyle name="40% - akcent 1 3 7 4 4" xfId="10676"/>
    <cellStyle name="40% - akcent 1 3 7 5" xfId="10677"/>
    <cellStyle name="40% - akcent 1 3 7 5 2" xfId="10678"/>
    <cellStyle name="40% - akcent 1 3 7 5 2 2" xfId="10679"/>
    <cellStyle name="40% - akcent 1 3 7 5 2 3" xfId="10680"/>
    <cellStyle name="40% - akcent 1 3 7 5 3" xfId="10681"/>
    <cellStyle name="40% - akcent 1 3 7 5 4" xfId="10682"/>
    <cellStyle name="40% - akcent 1 3 7 6" xfId="10683"/>
    <cellStyle name="40% - akcent 1 3 7 6 2" xfId="10684"/>
    <cellStyle name="40% - akcent 1 3 7 6 3" xfId="10685"/>
    <cellStyle name="40% - akcent 1 3 7 7" xfId="10686"/>
    <cellStyle name="40% - akcent 1 3 7 8" xfId="10687"/>
    <cellStyle name="40% - akcent 1 3 8" xfId="10688"/>
    <cellStyle name="40% - akcent 1 3 8 2" xfId="10689"/>
    <cellStyle name="40% - akcent 1 3 8 2 2" xfId="10690"/>
    <cellStyle name="40% - akcent 1 3 8 2 2 2" xfId="10691"/>
    <cellStyle name="40% - akcent 1 3 8 2 2 2 2" xfId="10692"/>
    <cellStyle name="40% - akcent 1 3 8 2 2 2 3" xfId="10693"/>
    <cellStyle name="40% - akcent 1 3 8 2 2 3" xfId="10694"/>
    <cellStyle name="40% - akcent 1 3 8 2 2 4" xfId="10695"/>
    <cellStyle name="40% - akcent 1 3 8 2 3" xfId="10696"/>
    <cellStyle name="40% - akcent 1 3 8 2 3 2" xfId="10697"/>
    <cellStyle name="40% - akcent 1 3 8 2 3 2 2" xfId="10698"/>
    <cellStyle name="40% - akcent 1 3 8 2 3 2 3" xfId="10699"/>
    <cellStyle name="40% - akcent 1 3 8 2 3 3" xfId="10700"/>
    <cellStyle name="40% - akcent 1 3 8 2 3 4" xfId="10701"/>
    <cellStyle name="40% - akcent 1 3 8 2 4" xfId="10702"/>
    <cellStyle name="40% - akcent 1 3 8 2 4 2" xfId="10703"/>
    <cellStyle name="40% - akcent 1 3 8 2 4 2 2" xfId="10704"/>
    <cellStyle name="40% - akcent 1 3 8 2 4 2 3" xfId="10705"/>
    <cellStyle name="40% - akcent 1 3 8 2 4 3" xfId="10706"/>
    <cellStyle name="40% - akcent 1 3 8 2 4 4" xfId="10707"/>
    <cellStyle name="40% - akcent 1 3 8 2 5" xfId="10708"/>
    <cellStyle name="40% - akcent 1 3 8 2 5 2" xfId="10709"/>
    <cellStyle name="40% - akcent 1 3 8 2 5 3" xfId="10710"/>
    <cellStyle name="40% - akcent 1 3 8 2 6" xfId="10711"/>
    <cellStyle name="40% - akcent 1 3 8 2 7" xfId="10712"/>
    <cellStyle name="40% - akcent 1 3 8 3" xfId="10713"/>
    <cellStyle name="40% - akcent 1 3 8 3 2" xfId="10714"/>
    <cellStyle name="40% - akcent 1 3 8 3 2 2" xfId="10715"/>
    <cellStyle name="40% - akcent 1 3 8 3 2 3" xfId="10716"/>
    <cellStyle name="40% - akcent 1 3 8 3 3" xfId="10717"/>
    <cellStyle name="40% - akcent 1 3 8 3 4" xfId="10718"/>
    <cellStyle name="40% - akcent 1 3 8 4" xfId="10719"/>
    <cellStyle name="40% - akcent 1 3 8 4 2" xfId="10720"/>
    <cellStyle name="40% - akcent 1 3 8 4 2 2" xfId="10721"/>
    <cellStyle name="40% - akcent 1 3 8 4 2 3" xfId="10722"/>
    <cellStyle name="40% - akcent 1 3 8 4 3" xfId="10723"/>
    <cellStyle name="40% - akcent 1 3 8 4 4" xfId="10724"/>
    <cellStyle name="40% - akcent 1 3 8 5" xfId="10725"/>
    <cellStyle name="40% - akcent 1 3 8 5 2" xfId="10726"/>
    <cellStyle name="40% - akcent 1 3 8 5 2 2" xfId="10727"/>
    <cellStyle name="40% - akcent 1 3 8 5 2 3" xfId="10728"/>
    <cellStyle name="40% - akcent 1 3 8 5 3" xfId="10729"/>
    <cellStyle name="40% - akcent 1 3 8 5 4" xfId="10730"/>
    <cellStyle name="40% - akcent 1 3 8 6" xfId="10731"/>
    <cellStyle name="40% - akcent 1 3 8 6 2" xfId="10732"/>
    <cellStyle name="40% - akcent 1 3 8 6 3" xfId="10733"/>
    <cellStyle name="40% - akcent 1 3 8 7" xfId="10734"/>
    <cellStyle name="40% - akcent 1 3 8 8" xfId="10735"/>
    <cellStyle name="40% - akcent 1 3 9" xfId="10736"/>
    <cellStyle name="40% - akcent 1 3 9 2" xfId="10737"/>
    <cellStyle name="40% - akcent 1 3 9 2 2" xfId="10738"/>
    <cellStyle name="40% - akcent 1 3 9 2 2 2" xfId="10739"/>
    <cellStyle name="40% - akcent 1 3 9 2 2 3" xfId="10740"/>
    <cellStyle name="40% - akcent 1 3 9 2 3" xfId="10741"/>
    <cellStyle name="40% - akcent 1 3 9 2 4" xfId="10742"/>
    <cellStyle name="40% - akcent 1 3 9 3" xfId="10743"/>
    <cellStyle name="40% - akcent 1 3 9 3 2" xfId="10744"/>
    <cellStyle name="40% - akcent 1 3 9 3 2 2" xfId="10745"/>
    <cellStyle name="40% - akcent 1 3 9 3 2 3" xfId="10746"/>
    <cellStyle name="40% - akcent 1 3 9 3 3" xfId="10747"/>
    <cellStyle name="40% - akcent 1 3 9 3 4" xfId="10748"/>
    <cellStyle name="40% - akcent 1 3 9 4" xfId="10749"/>
    <cellStyle name="40% - akcent 1 3 9 4 2" xfId="10750"/>
    <cellStyle name="40% - akcent 1 3 9 4 2 2" xfId="10751"/>
    <cellStyle name="40% - akcent 1 3 9 4 2 3" xfId="10752"/>
    <cellStyle name="40% - akcent 1 3 9 4 3" xfId="10753"/>
    <cellStyle name="40% - akcent 1 3 9 4 4" xfId="10754"/>
    <cellStyle name="40% - akcent 1 3 9 5" xfId="10755"/>
    <cellStyle name="40% - akcent 1 3 9 5 2" xfId="10756"/>
    <cellStyle name="40% - akcent 1 3 9 5 3" xfId="10757"/>
    <cellStyle name="40% - akcent 1 3 9 6" xfId="10758"/>
    <cellStyle name="40% - akcent 1 3 9 7" xfId="10759"/>
    <cellStyle name="40% - akcent 1 4" xfId="10760"/>
    <cellStyle name="40% - akcent 1 5" xfId="10761"/>
    <cellStyle name="40% - akcent 1 6" xfId="10762"/>
    <cellStyle name="40% - akcent 2 2" xfId="10763"/>
    <cellStyle name="40% - akcent 2 2 2" xfId="10764"/>
    <cellStyle name="40% - akcent 2 2 3" xfId="10765"/>
    <cellStyle name="40% - akcent 2 2 4" xfId="10766"/>
    <cellStyle name="40% - akcent 2 3" xfId="10767"/>
    <cellStyle name="40% - akcent 2 3 10" xfId="10768"/>
    <cellStyle name="40% - akcent 2 3 10 2" xfId="10769"/>
    <cellStyle name="40% - akcent 2 3 10 2 2" xfId="10770"/>
    <cellStyle name="40% - akcent 2 3 10 2 2 2" xfId="10771"/>
    <cellStyle name="40% - akcent 2 3 10 2 2 3" xfId="10772"/>
    <cellStyle name="40% - akcent 2 3 10 2 3" xfId="10773"/>
    <cellStyle name="40% - akcent 2 3 10 2 4" xfId="10774"/>
    <cellStyle name="40% - akcent 2 3 10 3" xfId="10775"/>
    <cellStyle name="40% - akcent 2 3 10 3 2" xfId="10776"/>
    <cellStyle name="40% - akcent 2 3 10 3 3" xfId="10777"/>
    <cellStyle name="40% - akcent 2 3 10 4" xfId="10778"/>
    <cellStyle name="40% - akcent 2 3 10 5" xfId="10779"/>
    <cellStyle name="40% - akcent 2 3 11" xfId="10780"/>
    <cellStyle name="40% - akcent 2 3 11 2" xfId="10781"/>
    <cellStyle name="40% - akcent 2 3 11 2 2" xfId="10782"/>
    <cellStyle name="40% - akcent 2 3 11 2 3" xfId="10783"/>
    <cellStyle name="40% - akcent 2 3 11 3" xfId="10784"/>
    <cellStyle name="40% - akcent 2 3 11 4" xfId="10785"/>
    <cellStyle name="40% - akcent 2 3 12" xfId="10786"/>
    <cellStyle name="40% - akcent 2 3 12 2" xfId="10787"/>
    <cellStyle name="40% - akcent 2 3 12 2 2" xfId="10788"/>
    <cellStyle name="40% - akcent 2 3 12 2 3" xfId="10789"/>
    <cellStyle name="40% - akcent 2 3 12 3" xfId="10790"/>
    <cellStyle name="40% - akcent 2 3 12 4" xfId="10791"/>
    <cellStyle name="40% - akcent 2 3 13" xfId="10792"/>
    <cellStyle name="40% - akcent 2 3 13 2" xfId="10793"/>
    <cellStyle name="40% - akcent 2 3 13 2 2" xfId="10794"/>
    <cellStyle name="40% - akcent 2 3 13 2 3" xfId="10795"/>
    <cellStyle name="40% - akcent 2 3 13 3" xfId="10796"/>
    <cellStyle name="40% - akcent 2 3 13 4" xfId="10797"/>
    <cellStyle name="40% - akcent 2 3 14" xfId="10798"/>
    <cellStyle name="40% - akcent 2 3 14 2" xfId="10799"/>
    <cellStyle name="40% - akcent 2 3 14 3" xfId="10800"/>
    <cellStyle name="40% - akcent 2 3 15" xfId="10801"/>
    <cellStyle name="40% - akcent 2 3 15 2" xfId="10802"/>
    <cellStyle name="40% - akcent 2 3 15 3" xfId="10803"/>
    <cellStyle name="40% - akcent 2 3 16" xfId="10804"/>
    <cellStyle name="40% - akcent 2 3 17" xfId="10805"/>
    <cellStyle name="40% - akcent 2 3 18" xfId="10806"/>
    <cellStyle name="40% - akcent 2 3 2" xfId="10807"/>
    <cellStyle name="40% - akcent 2 3 2 10" xfId="10808"/>
    <cellStyle name="40% - akcent 2 3 2 10 2" xfId="10809"/>
    <cellStyle name="40% - akcent 2 3 2 10 2 2" xfId="10810"/>
    <cellStyle name="40% - akcent 2 3 2 10 2 3" xfId="10811"/>
    <cellStyle name="40% - akcent 2 3 2 10 3" xfId="10812"/>
    <cellStyle name="40% - akcent 2 3 2 10 4" xfId="10813"/>
    <cellStyle name="40% - akcent 2 3 2 11" xfId="10814"/>
    <cellStyle name="40% - akcent 2 3 2 11 2" xfId="10815"/>
    <cellStyle name="40% - akcent 2 3 2 11 3" xfId="10816"/>
    <cellStyle name="40% - akcent 2 3 2 12" xfId="10817"/>
    <cellStyle name="40% - akcent 2 3 2 12 2" xfId="10818"/>
    <cellStyle name="40% - akcent 2 3 2 12 3" xfId="10819"/>
    <cellStyle name="40% - akcent 2 3 2 13" xfId="10820"/>
    <cellStyle name="40% - akcent 2 3 2 14" xfId="10821"/>
    <cellStyle name="40% - akcent 2 3 2 15" xfId="10822"/>
    <cellStyle name="40% - akcent 2 3 2 2" xfId="10823"/>
    <cellStyle name="40% - akcent 2 3 2 2 10" xfId="10824"/>
    <cellStyle name="40% - akcent 2 3 2 2 11" xfId="10825"/>
    <cellStyle name="40% - akcent 2 3 2 2 2" xfId="10826"/>
    <cellStyle name="40% - akcent 2 3 2 2 2 2" xfId="10827"/>
    <cellStyle name="40% - akcent 2 3 2 2 2 2 2" xfId="10828"/>
    <cellStyle name="40% - akcent 2 3 2 2 2 2 2 2" xfId="10829"/>
    <cellStyle name="40% - akcent 2 3 2 2 2 2 2 2 2" xfId="10830"/>
    <cellStyle name="40% - akcent 2 3 2 2 2 2 2 2 3" xfId="10831"/>
    <cellStyle name="40% - akcent 2 3 2 2 2 2 2 3" xfId="10832"/>
    <cellStyle name="40% - akcent 2 3 2 2 2 2 2 4" xfId="10833"/>
    <cellStyle name="40% - akcent 2 3 2 2 2 2 3" xfId="10834"/>
    <cellStyle name="40% - akcent 2 3 2 2 2 2 3 2" xfId="10835"/>
    <cellStyle name="40% - akcent 2 3 2 2 2 2 3 2 2" xfId="10836"/>
    <cellStyle name="40% - akcent 2 3 2 2 2 2 3 2 3" xfId="10837"/>
    <cellStyle name="40% - akcent 2 3 2 2 2 2 3 3" xfId="10838"/>
    <cellStyle name="40% - akcent 2 3 2 2 2 2 3 4" xfId="10839"/>
    <cellStyle name="40% - akcent 2 3 2 2 2 2 4" xfId="10840"/>
    <cellStyle name="40% - akcent 2 3 2 2 2 2 4 2" xfId="10841"/>
    <cellStyle name="40% - akcent 2 3 2 2 2 2 4 2 2" xfId="10842"/>
    <cellStyle name="40% - akcent 2 3 2 2 2 2 4 2 3" xfId="10843"/>
    <cellStyle name="40% - akcent 2 3 2 2 2 2 4 3" xfId="10844"/>
    <cellStyle name="40% - akcent 2 3 2 2 2 2 4 4" xfId="10845"/>
    <cellStyle name="40% - akcent 2 3 2 2 2 2 5" xfId="10846"/>
    <cellStyle name="40% - akcent 2 3 2 2 2 2 5 2" xfId="10847"/>
    <cellStyle name="40% - akcent 2 3 2 2 2 2 5 3" xfId="10848"/>
    <cellStyle name="40% - akcent 2 3 2 2 2 2 6" xfId="10849"/>
    <cellStyle name="40% - akcent 2 3 2 2 2 2 7" xfId="10850"/>
    <cellStyle name="40% - akcent 2 3 2 2 2 3" xfId="10851"/>
    <cellStyle name="40% - akcent 2 3 2 2 2 3 2" xfId="10852"/>
    <cellStyle name="40% - akcent 2 3 2 2 2 3 2 2" xfId="10853"/>
    <cellStyle name="40% - akcent 2 3 2 2 2 3 2 2 2" xfId="10854"/>
    <cellStyle name="40% - akcent 2 3 2 2 2 3 2 2 3" xfId="10855"/>
    <cellStyle name="40% - akcent 2 3 2 2 2 3 2 3" xfId="10856"/>
    <cellStyle name="40% - akcent 2 3 2 2 2 3 2 4" xfId="10857"/>
    <cellStyle name="40% - akcent 2 3 2 2 2 3 3" xfId="10858"/>
    <cellStyle name="40% - akcent 2 3 2 2 2 3 3 2" xfId="10859"/>
    <cellStyle name="40% - akcent 2 3 2 2 2 3 3 2 2" xfId="10860"/>
    <cellStyle name="40% - akcent 2 3 2 2 2 3 3 2 3" xfId="10861"/>
    <cellStyle name="40% - akcent 2 3 2 2 2 3 3 3" xfId="10862"/>
    <cellStyle name="40% - akcent 2 3 2 2 2 3 3 4" xfId="10863"/>
    <cellStyle name="40% - akcent 2 3 2 2 2 3 4" xfId="10864"/>
    <cellStyle name="40% - akcent 2 3 2 2 2 3 4 2" xfId="10865"/>
    <cellStyle name="40% - akcent 2 3 2 2 2 3 4 2 2" xfId="10866"/>
    <cellStyle name="40% - akcent 2 3 2 2 2 3 4 2 3" xfId="10867"/>
    <cellStyle name="40% - akcent 2 3 2 2 2 3 4 3" xfId="10868"/>
    <cellStyle name="40% - akcent 2 3 2 2 2 3 4 4" xfId="10869"/>
    <cellStyle name="40% - akcent 2 3 2 2 2 3 5" xfId="10870"/>
    <cellStyle name="40% - akcent 2 3 2 2 2 3 5 2" xfId="10871"/>
    <cellStyle name="40% - akcent 2 3 2 2 2 3 5 3" xfId="10872"/>
    <cellStyle name="40% - akcent 2 3 2 2 2 3 6" xfId="10873"/>
    <cellStyle name="40% - akcent 2 3 2 2 2 3 7" xfId="10874"/>
    <cellStyle name="40% - akcent 2 3 2 2 2 4" xfId="10875"/>
    <cellStyle name="40% - akcent 2 3 2 2 2 4 2" xfId="10876"/>
    <cellStyle name="40% - akcent 2 3 2 2 2 4 2 2" xfId="10877"/>
    <cellStyle name="40% - akcent 2 3 2 2 2 4 2 3" xfId="10878"/>
    <cellStyle name="40% - akcent 2 3 2 2 2 4 3" xfId="10879"/>
    <cellStyle name="40% - akcent 2 3 2 2 2 4 4" xfId="10880"/>
    <cellStyle name="40% - akcent 2 3 2 2 2 5" xfId="10881"/>
    <cellStyle name="40% - akcent 2 3 2 2 2 5 2" xfId="10882"/>
    <cellStyle name="40% - akcent 2 3 2 2 2 5 2 2" xfId="10883"/>
    <cellStyle name="40% - akcent 2 3 2 2 2 5 2 3" xfId="10884"/>
    <cellStyle name="40% - akcent 2 3 2 2 2 5 3" xfId="10885"/>
    <cellStyle name="40% - akcent 2 3 2 2 2 5 4" xfId="10886"/>
    <cellStyle name="40% - akcent 2 3 2 2 2 6" xfId="10887"/>
    <cellStyle name="40% - akcent 2 3 2 2 2 6 2" xfId="10888"/>
    <cellStyle name="40% - akcent 2 3 2 2 2 6 2 2" xfId="10889"/>
    <cellStyle name="40% - akcent 2 3 2 2 2 6 2 3" xfId="10890"/>
    <cellStyle name="40% - akcent 2 3 2 2 2 6 3" xfId="10891"/>
    <cellStyle name="40% - akcent 2 3 2 2 2 6 4" xfId="10892"/>
    <cellStyle name="40% - akcent 2 3 2 2 2 7" xfId="10893"/>
    <cellStyle name="40% - akcent 2 3 2 2 2 7 2" xfId="10894"/>
    <cellStyle name="40% - akcent 2 3 2 2 2 7 3" xfId="10895"/>
    <cellStyle name="40% - akcent 2 3 2 2 2 8" xfId="10896"/>
    <cellStyle name="40% - akcent 2 3 2 2 2 9" xfId="10897"/>
    <cellStyle name="40% - akcent 2 3 2 2 3" xfId="10898"/>
    <cellStyle name="40% - akcent 2 3 2 2 3 2" xfId="10899"/>
    <cellStyle name="40% - akcent 2 3 2 2 3 2 2" xfId="10900"/>
    <cellStyle name="40% - akcent 2 3 2 2 3 2 2 2" xfId="10901"/>
    <cellStyle name="40% - akcent 2 3 2 2 3 2 2 3" xfId="10902"/>
    <cellStyle name="40% - akcent 2 3 2 2 3 2 3" xfId="10903"/>
    <cellStyle name="40% - akcent 2 3 2 2 3 2 4" xfId="10904"/>
    <cellStyle name="40% - akcent 2 3 2 2 3 3" xfId="10905"/>
    <cellStyle name="40% - akcent 2 3 2 2 3 3 2" xfId="10906"/>
    <cellStyle name="40% - akcent 2 3 2 2 3 3 2 2" xfId="10907"/>
    <cellStyle name="40% - akcent 2 3 2 2 3 3 2 3" xfId="10908"/>
    <cellStyle name="40% - akcent 2 3 2 2 3 3 3" xfId="10909"/>
    <cellStyle name="40% - akcent 2 3 2 2 3 3 4" xfId="10910"/>
    <cellStyle name="40% - akcent 2 3 2 2 3 4" xfId="10911"/>
    <cellStyle name="40% - akcent 2 3 2 2 3 4 2" xfId="10912"/>
    <cellStyle name="40% - akcent 2 3 2 2 3 4 2 2" xfId="10913"/>
    <cellStyle name="40% - akcent 2 3 2 2 3 4 2 3" xfId="10914"/>
    <cellStyle name="40% - akcent 2 3 2 2 3 4 3" xfId="10915"/>
    <cellStyle name="40% - akcent 2 3 2 2 3 4 4" xfId="10916"/>
    <cellStyle name="40% - akcent 2 3 2 2 3 5" xfId="10917"/>
    <cellStyle name="40% - akcent 2 3 2 2 3 5 2" xfId="10918"/>
    <cellStyle name="40% - akcent 2 3 2 2 3 5 3" xfId="10919"/>
    <cellStyle name="40% - akcent 2 3 2 2 3 6" xfId="10920"/>
    <cellStyle name="40% - akcent 2 3 2 2 3 7" xfId="10921"/>
    <cellStyle name="40% - akcent 2 3 2 2 4" xfId="10922"/>
    <cellStyle name="40% - akcent 2 3 2 2 4 2" xfId="10923"/>
    <cellStyle name="40% - akcent 2 3 2 2 4 2 2" xfId="10924"/>
    <cellStyle name="40% - akcent 2 3 2 2 4 2 2 2" xfId="10925"/>
    <cellStyle name="40% - akcent 2 3 2 2 4 2 2 3" xfId="10926"/>
    <cellStyle name="40% - akcent 2 3 2 2 4 2 3" xfId="10927"/>
    <cellStyle name="40% - akcent 2 3 2 2 4 2 4" xfId="10928"/>
    <cellStyle name="40% - akcent 2 3 2 2 4 3" xfId="10929"/>
    <cellStyle name="40% - akcent 2 3 2 2 4 3 2" xfId="10930"/>
    <cellStyle name="40% - akcent 2 3 2 2 4 3 2 2" xfId="10931"/>
    <cellStyle name="40% - akcent 2 3 2 2 4 3 2 3" xfId="10932"/>
    <cellStyle name="40% - akcent 2 3 2 2 4 3 3" xfId="10933"/>
    <cellStyle name="40% - akcent 2 3 2 2 4 3 4" xfId="10934"/>
    <cellStyle name="40% - akcent 2 3 2 2 4 4" xfId="10935"/>
    <cellStyle name="40% - akcent 2 3 2 2 4 4 2" xfId="10936"/>
    <cellStyle name="40% - akcent 2 3 2 2 4 4 2 2" xfId="10937"/>
    <cellStyle name="40% - akcent 2 3 2 2 4 4 2 3" xfId="10938"/>
    <cellStyle name="40% - akcent 2 3 2 2 4 4 3" xfId="10939"/>
    <cellStyle name="40% - akcent 2 3 2 2 4 4 4" xfId="10940"/>
    <cellStyle name="40% - akcent 2 3 2 2 4 5" xfId="10941"/>
    <cellStyle name="40% - akcent 2 3 2 2 4 5 2" xfId="10942"/>
    <cellStyle name="40% - akcent 2 3 2 2 4 5 3" xfId="10943"/>
    <cellStyle name="40% - akcent 2 3 2 2 4 6" xfId="10944"/>
    <cellStyle name="40% - akcent 2 3 2 2 4 7" xfId="10945"/>
    <cellStyle name="40% - akcent 2 3 2 2 5" xfId="10946"/>
    <cellStyle name="40% - akcent 2 3 2 2 5 2" xfId="10947"/>
    <cellStyle name="40% - akcent 2 3 2 2 5 2 2" xfId="10948"/>
    <cellStyle name="40% - akcent 2 3 2 2 5 2 2 2" xfId="10949"/>
    <cellStyle name="40% - akcent 2 3 2 2 5 2 2 3" xfId="10950"/>
    <cellStyle name="40% - akcent 2 3 2 2 5 2 3" xfId="10951"/>
    <cellStyle name="40% - akcent 2 3 2 2 5 2 4" xfId="10952"/>
    <cellStyle name="40% - akcent 2 3 2 2 5 3" xfId="10953"/>
    <cellStyle name="40% - akcent 2 3 2 2 5 3 2" xfId="10954"/>
    <cellStyle name="40% - akcent 2 3 2 2 5 3 3" xfId="10955"/>
    <cellStyle name="40% - akcent 2 3 2 2 5 4" xfId="10956"/>
    <cellStyle name="40% - akcent 2 3 2 2 5 5" xfId="10957"/>
    <cellStyle name="40% - akcent 2 3 2 2 6" xfId="10958"/>
    <cellStyle name="40% - akcent 2 3 2 2 6 2" xfId="10959"/>
    <cellStyle name="40% - akcent 2 3 2 2 6 2 2" xfId="10960"/>
    <cellStyle name="40% - akcent 2 3 2 2 6 2 3" xfId="10961"/>
    <cellStyle name="40% - akcent 2 3 2 2 6 3" xfId="10962"/>
    <cellStyle name="40% - akcent 2 3 2 2 6 4" xfId="10963"/>
    <cellStyle name="40% - akcent 2 3 2 2 7" xfId="10964"/>
    <cellStyle name="40% - akcent 2 3 2 2 7 2" xfId="10965"/>
    <cellStyle name="40% - akcent 2 3 2 2 7 2 2" xfId="10966"/>
    <cellStyle name="40% - akcent 2 3 2 2 7 2 3" xfId="10967"/>
    <cellStyle name="40% - akcent 2 3 2 2 7 3" xfId="10968"/>
    <cellStyle name="40% - akcent 2 3 2 2 7 4" xfId="10969"/>
    <cellStyle name="40% - akcent 2 3 2 2 8" xfId="10970"/>
    <cellStyle name="40% - akcent 2 3 2 2 8 2" xfId="10971"/>
    <cellStyle name="40% - akcent 2 3 2 2 8 2 2" xfId="10972"/>
    <cellStyle name="40% - akcent 2 3 2 2 8 2 3" xfId="10973"/>
    <cellStyle name="40% - akcent 2 3 2 2 8 3" xfId="10974"/>
    <cellStyle name="40% - akcent 2 3 2 2 8 4" xfId="10975"/>
    <cellStyle name="40% - akcent 2 3 2 2 9" xfId="10976"/>
    <cellStyle name="40% - akcent 2 3 2 2 9 2" xfId="10977"/>
    <cellStyle name="40% - akcent 2 3 2 2 9 3" xfId="10978"/>
    <cellStyle name="40% - akcent 2 3 2 3" xfId="10979"/>
    <cellStyle name="40% - akcent 2 3 2 3 10" xfId="10980"/>
    <cellStyle name="40% - akcent 2 3 2 3 2" xfId="10981"/>
    <cellStyle name="40% - akcent 2 3 2 3 2 2" xfId="10982"/>
    <cellStyle name="40% - akcent 2 3 2 3 2 2 2" xfId="10983"/>
    <cellStyle name="40% - akcent 2 3 2 3 2 2 2 2" xfId="10984"/>
    <cellStyle name="40% - akcent 2 3 2 3 2 2 2 3" xfId="10985"/>
    <cellStyle name="40% - akcent 2 3 2 3 2 2 3" xfId="10986"/>
    <cellStyle name="40% - akcent 2 3 2 3 2 2 4" xfId="10987"/>
    <cellStyle name="40% - akcent 2 3 2 3 2 3" xfId="10988"/>
    <cellStyle name="40% - akcent 2 3 2 3 2 3 2" xfId="10989"/>
    <cellStyle name="40% - akcent 2 3 2 3 2 3 2 2" xfId="10990"/>
    <cellStyle name="40% - akcent 2 3 2 3 2 3 2 3" xfId="10991"/>
    <cellStyle name="40% - akcent 2 3 2 3 2 3 3" xfId="10992"/>
    <cellStyle name="40% - akcent 2 3 2 3 2 3 4" xfId="10993"/>
    <cellStyle name="40% - akcent 2 3 2 3 2 4" xfId="10994"/>
    <cellStyle name="40% - akcent 2 3 2 3 2 4 2" xfId="10995"/>
    <cellStyle name="40% - akcent 2 3 2 3 2 4 2 2" xfId="10996"/>
    <cellStyle name="40% - akcent 2 3 2 3 2 4 2 3" xfId="10997"/>
    <cellStyle name="40% - akcent 2 3 2 3 2 4 3" xfId="10998"/>
    <cellStyle name="40% - akcent 2 3 2 3 2 4 4" xfId="10999"/>
    <cellStyle name="40% - akcent 2 3 2 3 2 5" xfId="11000"/>
    <cellStyle name="40% - akcent 2 3 2 3 2 5 2" xfId="11001"/>
    <cellStyle name="40% - akcent 2 3 2 3 2 5 3" xfId="11002"/>
    <cellStyle name="40% - akcent 2 3 2 3 2 6" xfId="11003"/>
    <cellStyle name="40% - akcent 2 3 2 3 2 7" xfId="11004"/>
    <cellStyle name="40% - akcent 2 3 2 3 3" xfId="11005"/>
    <cellStyle name="40% - akcent 2 3 2 3 3 2" xfId="11006"/>
    <cellStyle name="40% - akcent 2 3 2 3 3 2 2" xfId="11007"/>
    <cellStyle name="40% - akcent 2 3 2 3 3 2 2 2" xfId="11008"/>
    <cellStyle name="40% - akcent 2 3 2 3 3 2 2 3" xfId="11009"/>
    <cellStyle name="40% - akcent 2 3 2 3 3 2 3" xfId="11010"/>
    <cellStyle name="40% - akcent 2 3 2 3 3 2 4" xfId="11011"/>
    <cellStyle name="40% - akcent 2 3 2 3 3 3" xfId="11012"/>
    <cellStyle name="40% - akcent 2 3 2 3 3 3 2" xfId="11013"/>
    <cellStyle name="40% - akcent 2 3 2 3 3 3 2 2" xfId="11014"/>
    <cellStyle name="40% - akcent 2 3 2 3 3 3 2 3" xfId="11015"/>
    <cellStyle name="40% - akcent 2 3 2 3 3 3 3" xfId="11016"/>
    <cellStyle name="40% - akcent 2 3 2 3 3 3 4" xfId="11017"/>
    <cellStyle name="40% - akcent 2 3 2 3 3 4" xfId="11018"/>
    <cellStyle name="40% - akcent 2 3 2 3 3 4 2" xfId="11019"/>
    <cellStyle name="40% - akcent 2 3 2 3 3 4 2 2" xfId="11020"/>
    <cellStyle name="40% - akcent 2 3 2 3 3 4 2 3" xfId="11021"/>
    <cellStyle name="40% - akcent 2 3 2 3 3 4 3" xfId="11022"/>
    <cellStyle name="40% - akcent 2 3 2 3 3 4 4" xfId="11023"/>
    <cellStyle name="40% - akcent 2 3 2 3 3 5" xfId="11024"/>
    <cellStyle name="40% - akcent 2 3 2 3 3 5 2" xfId="11025"/>
    <cellStyle name="40% - akcent 2 3 2 3 3 5 3" xfId="11026"/>
    <cellStyle name="40% - akcent 2 3 2 3 3 6" xfId="11027"/>
    <cellStyle name="40% - akcent 2 3 2 3 3 7" xfId="11028"/>
    <cellStyle name="40% - akcent 2 3 2 3 4" xfId="11029"/>
    <cellStyle name="40% - akcent 2 3 2 3 4 2" xfId="11030"/>
    <cellStyle name="40% - akcent 2 3 2 3 4 2 2" xfId="11031"/>
    <cellStyle name="40% - akcent 2 3 2 3 4 2 2 2" xfId="11032"/>
    <cellStyle name="40% - akcent 2 3 2 3 4 2 2 3" xfId="11033"/>
    <cellStyle name="40% - akcent 2 3 2 3 4 2 3" xfId="11034"/>
    <cellStyle name="40% - akcent 2 3 2 3 4 2 4" xfId="11035"/>
    <cellStyle name="40% - akcent 2 3 2 3 4 3" xfId="11036"/>
    <cellStyle name="40% - akcent 2 3 2 3 4 3 2" xfId="11037"/>
    <cellStyle name="40% - akcent 2 3 2 3 4 3 3" xfId="11038"/>
    <cellStyle name="40% - akcent 2 3 2 3 4 4" xfId="11039"/>
    <cellStyle name="40% - akcent 2 3 2 3 4 5" xfId="11040"/>
    <cellStyle name="40% - akcent 2 3 2 3 5" xfId="11041"/>
    <cellStyle name="40% - akcent 2 3 2 3 5 2" xfId="11042"/>
    <cellStyle name="40% - akcent 2 3 2 3 5 2 2" xfId="11043"/>
    <cellStyle name="40% - akcent 2 3 2 3 5 2 3" xfId="11044"/>
    <cellStyle name="40% - akcent 2 3 2 3 5 3" xfId="11045"/>
    <cellStyle name="40% - akcent 2 3 2 3 5 4" xfId="11046"/>
    <cellStyle name="40% - akcent 2 3 2 3 6" xfId="11047"/>
    <cellStyle name="40% - akcent 2 3 2 3 6 2" xfId="11048"/>
    <cellStyle name="40% - akcent 2 3 2 3 6 2 2" xfId="11049"/>
    <cellStyle name="40% - akcent 2 3 2 3 6 2 3" xfId="11050"/>
    <cellStyle name="40% - akcent 2 3 2 3 6 3" xfId="11051"/>
    <cellStyle name="40% - akcent 2 3 2 3 6 4" xfId="11052"/>
    <cellStyle name="40% - akcent 2 3 2 3 7" xfId="11053"/>
    <cellStyle name="40% - akcent 2 3 2 3 7 2" xfId="11054"/>
    <cellStyle name="40% - akcent 2 3 2 3 7 2 2" xfId="11055"/>
    <cellStyle name="40% - akcent 2 3 2 3 7 2 3" xfId="11056"/>
    <cellStyle name="40% - akcent 2 3 2 3 7 3" xfId="11057"/>
    <cellStyle name="40% - akcent 2 3 2 3 7 4" xfId="11058"/>
    <cellStyle name="40% - akcent 2 3 2 3 8" xfId="11059"/>
    <cellStyle name="40% - akcent 2 3 2 3 8 2" xfId="11060"/>
    <cellStyle name="40% - akcent 2 3 2 3 8 3" xfId="11061"/>
    <cellStyle name="40% - akcent 2 3 2 3 9" xfId="11062"/>
    <cellStyle name="40% - akcent 2 3 2 4" xfId="11063"/>
    <cellStyle name="40% - akcent 2 3 2 4 2" xfId="11064"/>
    <cellStyle name="40% - akcent 2 3 2 4 2 2" xfId="11065"/>
    <cellStyle name="40% - akcent 2 3 2 4 2 2 2" xfId="11066"/>
    <cellStyle name="40% - akcent 2 3 2 4 2 2 2 2" xfId="11067"/>
    <cellStyle name="40% - akcent 2 3 2 4 2 2 2 3" xfId="11068"/>
    <cellStyle name="40% - akcent 2 3 2 4 2 2 3" xfId="11069"/>
    <cellStyle name="40% - akcent 2 3 2 4 2 2 4" xfId="11070"/>
    <cellStyle name="40% - akcent 2 3 2 4 2 3" xfId="11071"/>
    <cellStyle name="40% - akcent 2 3 2 4 2 3 2" xfId="11072"/>
    <cellStyle name="40% - akcent 2 3 2 4 2 3 2 2" xfId="11073"/>
    <cellStyle name="40% - akcent 2 3 2 4 2 3 2 3" xfId="11074"/>
    <cellStyle name="40% - akcent 2 3 2 4 2 3 3" xfId="11075"/>
    <cellStyle name="40% - akcent 2 3 2 4 2 3 4" xfId="11076"/>
    <cellStyle name="40% - akcent 2 3 2 4 2 4" xfId="11077"/>
    <cellStyle name="40% - akcent 2 3 2 4 2 4 2" xfId="11078"/>
    <cellStyle name="40% - akcent 2 3 2 4 2 4 2 2" xfId="11079"/>
    <cellStyle name="40% - akcent 2 3 2 4 2 4 2 3" xfId="11080"/>
    <cellStyle name="40% - akcent 2 3 2 4 2 4 3" xfId="11081"/>
    <cellStyle name="40% - akcent 2 3 2 4 2 4 4" xfId="11082"/>
    <cellStyle name="40% - akcent 2 3 2 4 2 5" xfId="11083"/>
    <cellStyle name="40% - akcent 2 3 2 4 2 5 2" xfId="11084"/>
    <cellStyle name="40% - akcent 2 3 2 4 2 5 3" xfId="11085"/>
    <cellStyle name="40% - akcent 2 3 2 4 2 6" xfId="11086"/>
    <cellStyle name="40% - akcent 2 3 2 4 2 7" xfId="11087"/>
    <cellStyle name="40% - akcent 2 3 2 4 3" xfId="11088"/>
    <cellStyle name="40% - akcent 2 3 2 4 3 2" xfId="11089"/>
    <cellStyle name="40% - akcent 2 3 2 4 3 2 2" xfId="11090"/>
    <cellStyle name="40% - akcent 2 3 2 4 3 2 2 2" xfId="11091"/>
    <cellStyle name="40% - akcent 2 3 2 4 3 2 2 3" xfId="11092"/>
    <cellStyle name="40% - akcent 2 3 2 4 3 2 3" xfId="11093"/>
    <cellStyle name="40% - akcent 2 3 2 4 3 2 4" xfId="11094"/>
    <cellStyle name="40% - akcent 2 3 2 4 3 3" xfId="11095"/>
    <cellStyle name="40% - akcent 2 3 2 4 3 3 2" xfId="11096"/>
    <cellStyle name="40% - akcent 2 3 2 4 3 3 2 2" xfId="11097"/>
    <cellStyle name="40% - akcent 2 3 2 4 3 3 2 3" xfId="11098"/>
    <cellStyle name="40% - akcent 2 3 2 4 3 3 3" xfId="11099"/>
    <cellStyle name="40% - akcent 2 3 2 4 3 3 4" xfId="11100"/>
    <cellStyle name="40% - akcent 2 3 2 4 3 4" xfId="11101"/>
    <cellStyle name="40% - akcent 2 3 2 4 3 4 2" xfId="11102"/>
    <cellStyle name="40% - akcent 2 3 2 4 3 4 2 2" xfId="11103"/>
    <cellStyle name="40% - akcent 2 3 2 4 3 4 2 3" xfId="11104"/>
    <cellStyle name="40% - akcent 2 3 2 4 3 4 3" xfId="11105"/>
    <cellStyle name="40% - akcent 2 3 2 4 3 4 4" xfId="11106"/>
    <cellStyle name="40% - akcent 2 3 2 4 3 5" xfId="11107"/>
    <cellStyle name="40% - akcent 2 3 2 4 3 5 2" xfId="11108"/>
    <cellStyle name="40% - akcent 2 3 2 4 3 5 3" xfId="11109"/>
    <cellStyle name="40% - akcent 2 3 2 4 3 6" xfId="11110"/>
    <cellStyle name="40% - akcent 2 3 2 4 3 7" xfId="11111"/>
    <cellStyle name="40% - akcent 2 3 2 4 4" xfId="11112"/>
    <cellStyle name="40% - akcent 2 3 2 4 4 2" xfId="11113"/>
    <cellStyle name="40% - akcent 2 3 2 4 4 2 2" xfId="11114"/>
    <cellStyle name="40% - akcent 2 3 2 4 4 2 3" xfId="11115"/>
    <cellStyle name="40% - akcent 2 3 2 4 4 3" xfId="11116"/>
    <cellStyle name="40% - akcent 2 3 2 4 4 4" xfId="11117"/>
    <cellStyle name="40% - akcent 2 3 2 4 5" xfId="11118"/>
    <cellStyle name="40% - akcent 2 3 2 4 5 2" xfId="11119"/>
    <cellStyle name="40% - akcent 2 3 2 4 5 2 2" xfId="11120"/>
    <cellStyle name="40% - akcent 2 3 2 4 5 2 3" xfId="11121"/>
    <cellStyle name="40% - akcent 2 3 2 4 5 3" xfId="11122"/>
    <cellStyle name="40% - akcent 2 3 2 4 5 4" xfId="11123"/>
    <cellStyle name="40% - akcent 2 3 2 4 6" xfId="11124"/>
    <cellStyle name="40% - akcent 2 3 2 4 6 2" xfId="11125"/>
    <cellStyle name="40% - akcent 2 3 2 4 6 2 2" xfId="11126"/>
    <cellStyle name="40% - akcent 2 3 2 4 6 2 3" xfId="11127"/>
    <cellStyle name="40% - akcent 2 3 2 4 6 3" xfId="11128"/>
    <cellStyle name="40% - akcent 2 3 2 4 6 4" xfId="11129"/>
    <cellStyle name="40% - akcent 2 3 2 4 7" xfId="11130"/>
    <cellStyle name="40% - akcent 2 3 2 4 7 2" xfId="11131"/>
    <cellStyle name="40% - akcent 2 3 2 4 7 3" xfId="11132"/>
    <cellStyle name="40% - akcent 2 3 2 4 8" xfId="11133"/>
    <cellStyle name="40% - akcent 2 3 2 4 9" xfId="11134"/>
    <cellStyle name="40% - akcent 2 3 2 5" xfId="11135"/>
    <cellStyle name="40% - akcent 2 3 2 5 2" xfId="11136"/>
    <cellStyle name="40% - akcent 2 3 2 5 2 2" xfId="11137"/>
    <cellStyle name="40% - akcent 2 3 2 5 2 2 2" xfId="11138"/>
    <cellStyle name="40% - akcent 2 3 2 5 2 2 3" xfId="11139"/>
    <cellStyle name="40% - akcent 2 3 2 5 2 3" xfId="11140"/>
    <cellStyle name="40% - akcent 2 3 2 5 2 4" xfId="11141"/>
    <cellStyle name="40% - akcent 2 3 2 5 3" xfId="11142"/>
    <cellStyle name="40% - akcent 2 3 2 5 3 2" xfId="11143"/>
    <cellStyle name="40% - akcent 2 3 2 5 3 2 2" xfId="11144"/>
    <cellStyle name="40% - akcent 2 3 2 5 3 2 3" xfId="11145"/>
    <cellStyle name="40% - akcent 2 3 2 5 3 3" xfId="11146"/>
    <cellStyle name="40% - akcent 2 3 2 5 3 4" xfId="11147"/>
    <cellStyle name="40% - akcent 2 3 2 5 4" xfId="11148"/>
    <cellStyle name="40% - akcent 2 3 2 5 4 2" xfId="11149"/>
    <cellStyle name="40% - akcent 2 3 2 5 4 2 2" xfId="11150"/>
    <cellStyle name="40% - akcent 2 3 2 5 4 2 3" xfId="11151"/>
    <cellStyle name="40% - akcent 2 3 2 5 4 3" xfId="11152"/>
    <cellStyle name="40% - akcent 2 3 2 5 4 4" xfId="11153"/>
    <cellStyle name="40% - akcent 2 3 2 5 5" xfId="11154"/>
    <cellStyle name="40% - akcent 2 3 2 5 5 2" xfId="11155"/>
    <cellStyle name="40% - akcent 2 3 2 5 5 3" xfId="11156"/>
    <cellStyle name="40% - akcent 2 3 2 5 6" xfId="11157"/>
    <cellStyle name="40% - akcent 2 3 2 5 7" xfId="11158"/>
    <cellStyle name="40% - akcent 2 3 2 6" xfId="11159"/>
    <cellStyle name="40% - akcent 2 3 2 6 2" xfId="11160"/>
    <cellStyle name="40% - akcent 2 3 2 6 2 2" xfId="11161"/>
    <cellStyle name="40% - akcent 2 3 2 6 2 2 2" xfId="11162"/>
    <cellStyle name="40% - akcent 2 3 2 6 2 2 3" xfId="11163"/>
    <cellStyle name="40% - akcent 2 3 2 6 2 3" xfId="11164"/>
    <cellStyle name="40% - akcent 2 3 2 6 2 4" xfId="11165"/>
    <cellStyle name="40% - akcent 2 3 2 6 3" xfId="11166"/>
    <cellStyle name="40% - akcent 2 3 2 6 3 2" xfId="11167"/>
    <cellStyle name="40% - akcent 2 3 2 6 3 2 2" xfId="11168"/>
    <cellStyle name="40% - akcent 2 3 2 6 3 2 3" xfId="11169"/>
    <cellStyle name="40% - akcent 2 3 2 6 3 3" xfId="11170"/>
    <cellStyle name="40% - akcent 2 3 2 6 3 4" xfId="11171"/>
    <cellStyle name="40% - akcent 2 3 2 6 4" xfId="11172"/>
    <cellStyle name="40% - akcent 2 3 2 6 4 2" xfId="11173"/>
    <cellStyle name="40% - akcent 2 3 2 6 4 2 2" xfId="11174"/>
    <cellStyle name="40% - akcent 2 3 2 6 4 2 3" xfId="11175"/>
    <cellStyle name="40% - akcent 2 3 2 6 4 3" xfId="11176"/>
    <cellStyle name="40% - akcent 2 3 2 6 4 4" xfId="11177"/>
    <cellStyle name="40% - akcent 2 3 2 6 5" xfId="11178"/>
    <cellStyle name="40% - akcent 2 3 2 6 5 2" xfId="11179"/>
    <cellStyle name="40% - akcent 2 3 2 6 5 3" xfId="11180"/>
    <cellStyle name="40% - akcent 2 3 2 6 6" xfId="11181"/>
    <cellStyle name="40% - akcent 2 3 2 6 7" xfId="11182"/>
    <cellStyle name="40% - akcent 2 3 2 7" xfId="11183"/>
    <cellStyle name="40% - akcent 2 3 2 7 2" xfId="11184"/>
    <cellStyle name="40% - akcent 2 3 2 7 2 2" xfId="11185"/>
    <cellStyle name="40% - akcent 2 3 2 7 2 2 2" xfId="11186"/>
    <cellStyle name="40% - akcent 2 3 2 7 2 2 3" xfId="11187"/>
    <cellStyle name="40% - akcent 2 3 2 7 2 3" xfId="11188"/>
    <cellStyle name="40% - akcent 2 3 2 7 2 4" xfId="11189"/>
    <cellStyle name="40% - akcent 2 3 2 7 3" xfId="11190"/>
    <cellStyle name="40% - akcent 2 3 2 7 3 2" xfId="11191"/>
    <cellStyle name="40% - akcent 2 3 2 7 3 3" xfId="11192"/>
    <cellStyle name="40% - akcent 2 3 2 7 4" xfId="11193"/>
    <cellStyle name="40% - akcent 2 3 2 7 5" xfId="11194"/>
    <cellStyle name="40% - akcent 2 3 2 8" xfId="11195"/>
    <cellStyle name="40% - akcent 2 3 2 8 2" xfId="11196"/>
    <cellStyle name="40% - akcent 2 3 2 8 2 2" xfId="11197"/>
    <cellStyle name="40% - akcent 2 3 2 8 2 3" xfId="11198"/>
    <cellStyle name="40% - akcent 2 3 2 8 3" xfId="11199"/>
    <cellStyle name="40% - akcent 2 3 2 8 4" xfId="11200"/>
    <cellStyle name="40% - akcent 2 3 2 9" xfId="11201"/>
    <cellStyle name="40% - akcent 2 3 2 9 2" xfId="11202"/>
    <cellStyle name="40% - akcent 2 3 2 9 2 2" xfId="11203"/>
    <cellStyle name="40% - akcent 2 3 2 9 2 3" xfId="11204"/>
    <cellStyle name="40% - akcent 2 3 2 9 3" xfId="11205"/>
    <cellStyle name="40% - akcent 2 3 2 9 4" xfId="11206"/>
    <cellStyle name="40% - akcent 2 3 3" xfId="11207"/>
    <cellStyle name="40% - akcent 2 3 3 10" xfId="11208"/>
    <cellStyle name="40% - akcent 2 3 3 11" xfId="11209"/>
    <cellStyle name="40% - akcent 2 3 3 2" xfId="11210"/>
    <cellStyle name="40% - akcent 2 3 3 2 10" xfId="11211"/>
    <cellStyle name="40% - akcent 2 3 3 2 2" xfId="11212"/>
    <cellStyle name="40% - akcent 2 3 3 2 2 2" xfId="11213"/>
    <cellStyle name="40% - akcent 2 3 3 2 2 2 2" xfId="11214"/>
    <cellStyle name="40% - akcent 2 3 3 2 2 2 2 2" xfId="11215"/>
    <cellStyle name="40% - akcent 2 3 3 2 2 2 2 3" xfId="11216"/>
    <cellStyle name="40% - akcent 2 3 3 2 2 2 3" xfId="11217"/>
    <cellStyle name="40% - akcent 2 3 3 2 2 2 4" xfId="11218"/>
    <cellStyle name="40% - akcent 2 3 3 2 2 3" xfId="11219"/>
    <cellStyle name="40% - akcent 2 3 3 2 2 3 2" xfId="11220"/>
    <cellStyle name="40% - akcent 2 3 3 2 2 3 2 2" xfId="11221"/>
    <cellStyle name="40% - akcent 2 3 3 2 2 3 2 3" xfId="11222"/>
    <cellStyle name="40% - akcent 2 3 3 2 2 3 3" xfId="11223"/>
    <cellStyle name="40% - akcent 2 3 3 2 2 3 4" xfId="11224"/>
    <cellStyle name="40% - akcent 2 3 3 2 2 4" xfId="11225"/>
    <cellStyle name="40% - akcent 2 3 3 2 2 4 2" xfId="11226"/>
    <cellStyle name="40% - akcent 2 3 3 2 2 4 2 2" xfId="11227"/>
    <cellStyle name="40% - akcent 2 3 3 2 2 4 2 3" xfId="11228"/>
    <cellStyle name="40% - akcent 2 3 3 2 2 4 3" xfId="11229"/>
    <cellStyle name="40% - akcent 2 3 3 2 2 4 4" xfId="11230"/>
    <cellStyle name="40% - akcent 2 3 3 2 2 5" xfId="11231"/>
    <cellStyle name="40% - akcent 2 3 3 2 2 5 2" xfId="11232"/>
    <cellStyle name="40% - akcent 2 3 3 2 2 5 3" xfId="11233"/>
    <cellStyle name="40% - akcent 2 3 3 2 2 6" xfId="11234"/>
    <cellStyle name="40% - akcent 2 3 3 2 2 7" xfId="11235"/>
    <cellStyle name="40% - akcent 2 3 3 2 3" xfId="11236"/>
    <cellStyle name="40% - akcent 2 3 3 2 3 2" xfId="11237"/>
    <cellStyle name="40% - akcent 2 3 3 2 3 2 2" xfId="11238"/>
    <cellStyle name="40% - akcent 2 3 3 2 3 2 2 2" xfId="11239"/>
    <cellStyle name="40% - akcent 2 3 3 2 3 2 2 3" xfId="11240"/>
    <cellStyle name="40% - akcent 2 3 3 2 3 2 3" xfId="11241"/>
    <cellStyle name="40% - akcent 2 3 3 2 3 2 4" xfId="11242"/>
    <cellStyle name="40% - akcent 2 3 3 2 3 3" xfId="11243"/>
    <cellStyle name="40% - akcent 2 3 3 2 3 3 2" xfId="11244"/>
    <cellStyle name="40% - akcent 2 3 3 2 3 3 2 2" xfId="11245"/>
    <cellStyle name="40% - akcent 2 3 3 2 3 3 2 3" xfId="11246"/>
    <cellStyle name="40% - akcent 2 3 3 2 3 3 3" xfId="11247"/>
    <cellStyle name="40% - akcent 2 3 3 2 3 3 4" xfId="11248"/>
    <cellStyle name="40% - akcent 2 3 3 2 3 4" xfId="11249"/>
    <cellStyle name="40% - akcent 2 3 3 2 3 4 2" xfId="11250"/>
    <cellStyle name="40% - akcent 2 3 3 2 3 4 2 2" xfId="11251"/>
    <cellStyle name="40% - akcent 2 3 3 2 3 4 2 3" xfId="11252"/>
    <cellStyle name="40% - akcent 2 3 3 2 3 4 3" xfId="11253"/>
    <cellStyle name="40% - akcent 2 3 3 2 3 4 4" xfId="11254"/>
    <cellStyle name="40% - akcent 2 3 3 2 3 5" xfId="11255"/>
    <cellStyle name="40% - akcent 2 3 3 2 3 5 2" xfId="11256"/>
    <cellStyle name="40% - akcent 2 3 3 2 3 5 3" xfId="11257"/>
    <cellStyle name="40% - akcent 2 3 3 2 3 6" xfId="11258"/>
    <cellStyle name="40% - akcent 2 3 3 2 3 7" xfId="11259"/>
    <cellStyle name="40% - akcent 2 3 3 2 4" xfId="11260"/>
    <cellStyle name="40% - akcent 2 3 3 2 4 2" xfId="11261"/>
    <cellStyle name="40% - akcent 2 3 3 2 4 2 2" xfId="11262"/>
    <cellStyle name="40% - akcent 2 3 3 2 4 2 2 2" xfId="11263"/>
    <cellStyle name="40% - akcent 2 3 3 2 4 2 2 3" xfId="11264"/>
    <cellStyle name="40% - akcent 2 3 3 2 4 2 3" xfId="11265"/>
    <cellStyle name="40% - akcent 2 3 3 2 4 2 4" xfId="11266"/>
    <cellStyle name="40% - akcent 2 3 3 2 4 3" xfId="11267"/>
    <cellStyle name="40% - akcent 2 3 3 2 4 3 2" xfId="11268"/>
    <cellStyle name="40% - akcent 2 3 3 2 4 3 3" xfId="11269"/>
    <cellStyle name="40% - akcent 2 3 3 2 4 4" xfId="11270"/>
    <cellStyle name="40% - akcent 2 3 3 2 4 5" xfId="11271"/>
    <cellStyle name="40% - akcent 2 3 3 2 5" xfId="11272"/>
    <cellStyle name="40% - akcent 2 3 3 2 5 2" xfId="11273"/>
    <cellStyle name="40% - akcent 2 3 3 2 5 2 2" xfId="11274"/>
    <cellStyle name="40% - akcent 2 3 3 2 5 2 3" xfId="11275"/>
    <cellStyle name="40% - akcent 2 3 3 2 5 3" xfId="11276"/>
    <cellStyle name="40% - akcent 2 3 3 2 5 4" xfId="11277"/>
    <cellStyle name="40% - akcent 2 3 3 2 6" xfId="11278"/>
    <cellStyle name="40% - akcent 2 3 3 2 6 2" xfId="11279"/>
    <cellStyle name="40% - akcent 2 3 3 2 6 2 2" xfId="11280"/>
    <cellStyle name="40% - akcent 2 3 3 2 6 2 3" xfId="11281"/>
    <cellStyle name="40% - akcent 2 3 3 2 6 3" xfId="11282"/>
    <cellStyle name="40% - akcent 2 3 3 2 6 4" xfId="11283"/>
    <cellStyle name="40% - akcent 2 3 3 2 7" xfId="11284"/>
    <cellStyle name="40% - akcent 2 3 3 2 7 2" xfId="11285"/>
    <cellStyle name="40% - akcent 2 3 3 2 7 2 2" xfId="11286"/>
    <cellStyle name="40% - akcent 2 3 3 2 7 2 3" xfId="11287"/>
    <cellStyle name="40% - akcent 2 3 3 2 7 3" xfId="11288"/>
    <cellStyle name="40% - akcent 2 3 3 2 7 4" xfId="11289"/>
    <cellStyle name="40% - akcent 2 3 3 2 8" xfId="11290"/>
    <cellStyle name="40% - akcent 2 3 3 2 8 2" xfId="11291"/>
    <cellStyle name="40% - akcent 2 3 3 2 8 3" xfId="11292"/>
    <cellStyle name="40% - akcent 2 3 3 2 9" xfId="11293"/>
    <cellStyle name="40% - akcent 2 3 3 3" xfId="11294"/>
    <cellStyle name="40% - akcent 2 3 3 3 2" xfId="11295"/>
    <cellStyle name="40% - akcent 2 3 3 3 2 2" xfId="11296"/>
    <cellStyle name="40% - akcent 2 3 3 3 2 2 2" xfId="11297"/>
    <cellStyle name="40% - akcent 2 3 3 3 2 2 3" xfId="11298"/>
    <cellStyle name="40% - akcent 2 3 3 3 2 3" xfId="11299"/>
    <cellStyle name="40% - akcent 2 3 3 3 2 4" xfId="11300"/>
    <cellStyle name="40% - akcent 2 3 3 3 3" xfId="11301"/>
    <cellStyle name="40% - akcent 2 3 3 3 3 2" xfId="11302"/>
    <cellStyle name="40% - akcent 2 3 3 3 3 2 2" xfId="11303"/>
    <cellStyle name="40% - akcent 2 3 3 3 3 2 3" xfId="11304"/>
    <cellStyle name="40% - akcent 2 3 3 3 3 3" xfId="11305"/>
    <cellStyle name="40% - akcent 2 3 3 3 3 4" xfId="11306"/>
    <cellStyle name="40% - akcent 2 3 3 3 4" xfId="11307"/>
    <cellStyle name="40% - akcent 2 3 3 3 4 2" xfId="11308"/>
    <cellStyle name="40% - akcent 2 3 3 3 4 2 2" xfId="11309"/>
    <cellStyle name="40% - akcent 2 3 3 3 4 2 3" xfId="11310"/>
    <cellStyle name="40% - akcent 2 3 3 3 4 3" xfId="11311"/>
    <cellStyle name="40% - akcent 2 3 3 3 4 4" xfId="11312"/>
    <cellStyle name="40% - akcent 2 3 3 3 5" xfId="11313"/>
    <cellStyle name="40% - akcent 2 3 3 3 5 2" xfId="11314"/>
    <cellStyle name="40% - akcent 2 3 3 3 5 3" xfId="11315"/>
    <cellStyle name="40% - akcent 2 3 3 3 6" xfId="11316"/>
    <cellStyle name="40% - akcent 2 3 3 3 7" xfId="11317"/>
    <cellStyle name="40% - akcent 2 3 3 4" xfId="11318"/>
    <cellStyle name="40% - akcent 2 3 3 4 2" xfId="11319"/>
    <cellStyle name="40% - akcent 2 3 3 4 2 2" xfId="11320"/>
    <cellStyle name="40% - akcent 2 3 3 4 2 2 2" xfId="11321"/>
    <cellStyle name="40% - akcent 2 3 3 4 2 2 3" xfId="11322"/>
    <cellStyle name="40% - akcent 2 3 3 4 2 3" xfId="11323"/>
    <cellStyle name="40% - akcent 2 3 3 4 2 4" xfId="11324"/>
    <cellStyle name="40% - akcent 2 3 3 4 3" xfId="11325"/>
    <cellStyle name="40% - akcent 2 3 3 4 3 2" xfId="11326"/>
    <cellStyle name="40% - akcent 2 3 3 4 3 2 2" xfId="11327"/>
    <cellStyle name="40% - akcent 2 3 3 4 3 2 3" xfId="11328"/>
    <cellStyle name="40% - akcent 2 3 3 4 3 3" xfId="11329"/>
    <cellStyle name="40% - akcent 2 3 3 4 3 4" xfId="11330"/>
    <cellStyle name="40% - akcent 2 3 3 4 4" xfId="11331"/>
    <cellStyle name="40% - akcent 2 3 3 4 4 2" xfId="11332"/>
    <cellStyle name="40% - akcent 2 3 3 4 4 2 2" xfId="11333"/>
    <cellStyle name="40% - akcent 2 3 3 4 4 2 3" xfId="11334"/>
    <cellStyle name="40% - akcent 2 3 3 4 4 3" xfId="11335"/>
    <cellStyle name="40% - akcent 2 3 3 4 4 4" xfId="11336"/>
    <cellStyle name="40% - akcent 2 3 3 4 5" xfId="11337"/>
    <cellStyle name="40% - akcent 2 3 3 4 5 2" xfId="11338"/>
    <cellStyle name="40% - akcent 2 3 3 4 5 3" xfId="11339"/>
    <cellStyle name="40% - akcent 2 3 3 4 6" xfId="11340"/>
    <cellStyle name="40% - akcent 2 3 3 4 7" xfId="11341"/>
    <cellStyle name="40% - akcent 2 3 3 5" xfId="11342"/>
    <cellStyle name="40% - akcent 2 3 3 5 2" xfId="11343"/>
    <cellStyle name="40% - akcent 2 3 3 5 2 2" xfId="11344"/>
    <cellStyle name="40% - akcent 2 3 3 5 2 2 2" xfId="11345"/>
    <cellStyle name="40% - akcent 2 3 3 5 2 2 3" xfId="11346"/>
    <cellStyle name="40% - akcent 2 3 3 5 2 3" xfId="11347"/>
    <cellStyle name="40% - akcent 2 3 3 5 2 4" xfId="11348"/>
    <cellStyle name="40% - akcent 2 3 3 5 3" xfId="11349"/>
    <cellStyle name="40% - akcent 2 3 3 5 3 2" xfId="11350"/>
    <cellStyle name="40% - akcent 2 3 3 5 3 3" xfId="11351"/>
    <cellStyle name="40% - akcent 2 3 3 5 4" xfId="11352"/>
    <cellStyle name="40% - akcent 2 3 3 5 5" xfId="11353"/>
    <cellStyle name="40% - akcent 2 3 3 6" xfId="11354"/>
    <cellStyle name="40% - akcent 2 3 3 6 2" xfId="11355"/>
    <cellStyle name="40% - akcent 2 3 3 6 2 2" xfId="11356"/>
    <cellStyle name="40% - akcent 2 3 3 6 2 3" xfId="11357"/>
    <cellStyle name="40% - akcent 2 3 3 6 3" xfId="11358"/>
    <cellStyle name="40% - akcent 2 3 3 6 4" xfId="11359"/>
    <cellStyle name="40% - akcent 2 3 3 7" xfId="11360"/>
    <cellStyle name="40% - akcent 2 3 3 7 2" xfId="11361"/>
    <cellStyle name="40% - akcent 2 3 3 7 2 2" xfId="11362"/>
    <cellStyle name="40% - akcent 2 3 3 7 2 3" xfId="11363"/>
    <cellStyle name="40% - akcent 2 3 3 7 3" xfId="11364"/>
    <cellStyle name="40% - akcent 2 3 3 7 4" xfId="11365"/>
    <cellStyle name="40% - akcent 2 3 3 8" xfId="11366"/>
    <cellStyle name="40% - akcent 2 3 3 8 2" xfId="11367"/>
    <cellStyle name="40% - akcent 2 3 3 8 2 2" xfId="11368"/>
    <cellStyle name="40% - akcent 2 3 3 8 2 3" xfId="11369"/>
    <cellStyle name="40% - akcent 2 3 3 8 3" xfId="11370"/>
    <cellStyle name="40% - akcent 2 3 3 8 4" xfId="11371"/>
    <cellStyle name="40% - akcent 2 3 3 9" xfId="11372"/>
    <cellStyle name="40% - akcent 2 3 3 9 2" xfId="11373"/>
    <cellStyle name="40% - akcent 2 3 3 9 3" xfId="11374"/>
    <cellStyle name="40% - akcent 2 3 4" xfId="11375"/>
    <cellStyle name="40% - akcent 2 3 4 10" xfId="11376"/>
    <cellStyle name="40% - akcent 2 3 4 2" xfId="11377"/>
    <cellStyle name="40% - akcent 2 3 4 2 2" xfId="11378"/>
    <cellStyle name="40% - akcent 2 3 4 2 2 2" xfId="11379"/>
    <cellStyle name="40% - akcent 2 3 4 2 2 2 2" xfId="11380"/>
    <cellStyle name="40% - akcent 2 3 4 2 2 2 3" xfId="11381"/>
    <cellStyle name="40% - akcent 2 3 4 2 2 3" xfId="11382"/>
    <cellStyle name="40% - akcent 2 3 4 2 2 4" xfId="11383"/>
    <cellStyle name="40% - akcent 2 3 4 2 3" xfId="11384"/>
    <cellStyle name="40% - akcent 2 3 4 2 3 2" xfId="11385"/>
    <cellStyle name="40% - akcent 2 3 4 2 3 2 2" xfId="11386"/>
    <cellStyle name="40% - akcent 2 3 4 2 3 2 3" xfId="11387"/>
    <cellStyle name="40% - akcent 2 3 4 2 3 3" xfId="11388"/>
    <cellStyle name="40% - akcent 2 3 4 2 3 4" xfId="11389"/>
    <cellStyle name="40% - akcent 2 3 4 2 4" xfId="11390"/>
    <cellStyle name="40% - akcent 2 3 4 2 4 2" xfId="11391"/>
    <cellStyle name="40% - akcent 2 3 4 2 4 2 2" xfId="11392"/>
    <cellStyle name="40% - akcent 2 3 4 2 4 2 3" xfId="11393"/>
    <cellStyle name="40% - akcent 2 3 4 2 4 3" xfId="11394"/>
    <cellStyle name="40% - akcent 2 3 4 2 4 4" xfId="11395"/>
    <cellStyle name="40% - akcent 2 3 4 2 5" xfId="11396"/>
    <cellStyle name="40% - akcent 2 3 4 2 5 2" xfId="11397"/>
    <cellStyle name="40% - akcent 2 3 4 2 5 3" xfId="11398"/>
    <cellStyle name="40% - akcent 2 3 4 2 6" xfId="11399"/>
    <cellStyle name="40% - akcent 2 3 4 2 7" xfId="11400"/>
    <cellStyle name="40% - akcent 2 3 4 3" xfId="11401"/>
    <cellStyle name="40% - akcent 2 3 4 3 2" xfId="11402"/>
    <cellStyle name="40% - akcent 2 3 4 3 2 2" xfId="11403"/>
    <cellStyle name="40% - akcent 2 3 4 3 2 2 2" xfId="11404"/>
    <cellStyle name="40% - akcent 2 3 4 3 2 2 3" xfId="11405"/>
    <cellStyle name="40% - akcent 2 3 4 3 2 3" xfId="11406"/>
    <cellStyle name="40% - akcent 2 3 4 3 2 4" xfId="11407"/>
    <cellStyle name="40% - akcent 2 3 4 3 3" xfId="11408"/>
    <cellStyle name="40% - akcent 2 3 4 3 3 2" xfId="11409"/>
    <cellStyle name="40% - akcent 2 3 4 3 3 2 2" xfId="11410"/>
    <cellStyle name="40% - akcent 2 3 4 3 3 2 3" xfId="11411"/>
    <cellStyle name="40% - akcent 2 3 4 3 3 3" xfId="11412"/>
    <cellStyle name="40% - akcent 2 3 4 3 3 4" xfId="11413"/>
    <cellStyle name="40% - akcent 2 3 4 3 4" xfId="11414"/>
    <cellStyle name="40% - akcent 2 3 4 3 4 2" xfId="11415"/>
    <cellStyle name="40% - akcent 2 3 4 3 4 2 2" xfId="11416"/>
    <cellStyle name="40% - akcent 2 3 4 3 4 2 3" xfId="11417"/>
    <cellStyle name="40% - akcent 2 3 4 3 4 3" xfId="11418"/>
    <cellStyle name="40% - akcent 2 3 4 3 4 4" xfId="11419"/>
    <cellStyle name="40% - akcent 2 3 4 3 5" xfId="11420"/>
    <cellStyle name="40% - akcent 2 3 4 3 5 2" xfId="11421"/>
    <cellStyle name="40% - akcent 2 3 4 3 5 3" xfId="11422"/>
    <cellStyle name="40% - akcent 2 3 4 3 6" xfId="11423"/>
    <cellStyle name="40% - akcent 2 3 4 3 7" xfId="11424"/>
    <cellStyle name="40% - akcent 2 3 4 4" xfId="11425"/>
    <cellStyle name="40% - akcent 2 3 4 4 2" xfId="11426"/>
    <cellStyle name="40% - akcent 2 3 4 4 2 2" xfId="11427"/>
    <cellStyle name="40% - akcent 2 3 4 4 2 2 2" xfId="11428"/>
    <cellStyle name="40% - akcent 2 3 4 4 2 2 3" xfId="11429"/>
    <cellStyle name="40% - akcent 2 3 4 4 2 3" xfId="11430"/>
    <cellStyle name="40% - akcent 2 3 4 4 2 4" xfId="11431"/>
    <cellStyle name="40% - akcent 2 3 4 4 3" xfId="11432"/>
    <cellStyle name="40% - akcent 2 3 4 4 3 2" xfId="11433"/>
    <cellStyle name="40% - akcent 2 3 4 4 3 3" xfId="11434"/>
    <cellStyle name="40% - akcent 2 3 4 4 4" xfId="11435"/>
    <cellStyle name="40% - akcent 2 3 4 4 5" xfId="11436"/>
    <cellStyle name="40% - akcent 2 3 4 5" xfId="11437"/>
    <cellStyle name="40% - akcent 2 3 4 5 2" xfId="11438"/>
    <cellStyle name="40% - akcent 2 3 4 5 2 2" xfId="11439"/>
    <cellStyle name="40% - akcent 2 3 4 5 2 3" xfId="11440"/>
    <cellStyle name="40% - akcent 2 3 4 5 3" xfId="11441"/>
    <cellStyle name="40% - akcent 2 3 4 5 4" xfId="11442"/>
    <cellStyle name="40% - akcent 2 3 4 6" xfId="11443"/>
    <cellStyle name="40% - akcent 2 3 4 6 2" xfId="11444"/>
    <cellStyle name="40% - akcent 2 3 4 6 2 2" xfId="11445"/>
    <cellStyle name="40% - akcent 2 3 4 6 2 3" xfId="11446"/>
    <cellStyle name="40% - akcent 2 3 4 6 3" xfId="11447"/>
    <cellStyle name="40% - akcent 2 3 4 6 4" xfId="11448"/>
    <cellStyle name="40% - akcent 2 3 4 7" xfId="11449"/>
    <cellStyle name="40% - akcent 2 3 4 7 2" xfId="11450"/>
    <cellStyle name="40% - akcent 2 3 4 7 2 2" xfId="11451"/>
    <cellStyle name="40% - akcent 2 3 4 7 2 3" xfId="11452"/>
    <cellStyle name="40% - akcent 2 3 4 7 3" xfId="11453"/>
    <cellStyle name="40% - akcent 2 3 4 7 4" xfId="11454"/>
    <cellStyle name="40% - akcent 2 3 4 8" xfId="11455"/>
    <cellStyle name="40% - akcent 2 3 4 8 2" xfId="11456"/>
    <cellStyle name="40% - akcent 2 3 4 8 3" xfId="11457"/>
    <cellStyle name="40% - akcent 2 3 4 9" xfId="11458"/>
    <cellStyle name="40% - akcent 2 3 5" xfId="11459"/>
    <cellStyle name="40% - akcent 2 3 5 2" xfId="11460"/>
    <cellStyle name="40% - akcent 2 3 5 2 2" xfId="11461"/>
    <cellStyle name="40% - akcent 2 3 5 2 2 2" xfId="11462"/>
    <cellStyle name="40% - akcent 2 3 5 2 2 2 2" xfId="11463"/>
    <cellStyle name="40% - akcent 2 3 5 2 2 2 3" xfId="11464"/>
    <cellStyle name="40% - akcent 2 3 5 2 2 3" xfId="11465"/>
    <cellStyle name="40% - akcent 2 3 5 2 2 4" xfId="11466"/>
    <cellStyle name="40% - akcent 2 3 5 2 3" xfId="11467"/>
    <cellStyle name="40% - akcent 2 3 5 2 3 2" xfId="11468"/>
    <cellStyle name="40% - akcent 2 3 5 2 3 2 2" xfId="11469"/>
    <cellStyle name="40% - akcent 2 3 5 2 3 2 3" xfId="11470"/>
    <cellStyle name="40% - akcent 2 3 5 2 3 3" xfId="11471"/>
    <cellStyle name="40% - akcent 2 3 5 2 3 4" xfId="11472"/>
    <cellStyle name="40% - akcent 2 3 5 2 4" xfId="11473"/>
    <cellStyle name="40% - akcent 2 3 5 2 4 2" xfId="11474"/>
    <cellStyle name="40% - akcent 2 3 5 2 4 2 2" xfId="11475"/>
    <cellStyle name="40% - akcent 2 3 5 2 4 2 3" xfId="11476"/>
    <cellStyle name="40% - akcent 2 3 5 2 4 3" xfId="11477"/>
    <cellStyle name="40% - akcent 2 3 5 2 4 4" xfId="11478"/>
    <cellStyle name="40% - akcent 2 3 5 2 5" xfId="11479"/>
    <cellStyle name="40% - akcent 2 3 5 2 5 2" xfId="11480"/>
    <cellStyle name="40% - akcent 2 3 5 2 5 3" xfId="11481"/>
    <cellStyle name="40% - akcent 2 3 5 2 6" xfId="11482"/>
    <cellStyle name="40% - akcent 2 3 5 2 7" xfId="11483"/>
    <cellStyle name="40% - akcent 2 3 5 3" xfId="11484"/>
    <cellStyle name="40% - akcent 2 3 5 3 2" xfId="11485"/>
    <cellStyle name="40% - akcent 2 3 5 3 2 2" xfId="11486"/>
    <cellStyle name="40% - akcent 2 3 5 3 2 2 2" xfId="11487"/>
    <cellStyle name="40% - akcent 2 3 5 3 2 2 3" xfId="11488"/>
    <cellStyle name="40% - akcent 2 3 5 3 2 3" xfId="11489"/>
    <cellStyle name="40% - akcent 2 3 5 3 2 4" xfId="11490"/>
    <cellStyle name="40% - akcent 2 3 5 3 3" xfId="11491"/>
    <cellStyle name="40% - akcent 2 3 5 3 3 2" xfId="11492"/>
    <cellStyle name="40% - akcent 2 3 5 3 3 2 2" xfId="11493"/>
    <cellStyle name="40% - akcent 2 3 5 3 3 2 3" xfId="11494"/>
    <cellStyle name="40% - akcent 2 3 5 3 3 3" xfId="11495"/>
    <cellStyle name="40% - akcent 2 3 5 3 3 4" xfId="11496"/>
    <cellStyle name="40% - akcent 2 3 5 3 4" xfId="11497"/>
    <cellStyle name="40% - akcent 2 3 5 3 4 2" xfId="11498"/>
    <cellStyle name="40% - akcent 2 3 5 3 4 2 2" xfId="11499"/>
    <cellStyle name="40% - akcent 2 3 5 3 4 2 3" xfId="11500"/>
    <cellStyle name="40% - akcent 2 3 5 3 4 3" xfId="11501"/>
    <cellStyle name="40% - akcent 2 3 5 3 4 4" xfId="11502"/>
    <cellStyle name="40% - akcent 2 3 5 3 5" xfId="11503"/>
    <cellStyle name="40% - akcent 2 3 5 3 5 2" xfId="11504"/>
    <cellStyle name="40% - akcent 2 3 5 3 5 3" xfId="11505"/>
    <cellStyle name="40% - akcent 2 3 5 3 6" xfId="11506"/>
    <cellStyle name="40% - akcent 2 3 5 3 7" xfId="11507"/>
    <cellStyle name="40% - akcent 2 3 5 4" xfId="11508"/>
    <cellStyle name="40% - akcent 2 3 5 4 2" xfId="11509"/>
    <cellStyle name="40% - akcent 2 3 5 4 2 2" xfId="11510"/>
    <cellStyle name="40% - akcent 2 3 5 4 2 3" xfId="11511"/>
    <cellStyle name="40% - akcent 2 3 5 4 3" xfId="11512"/>
    <cellStyle name="40% - akcent 2 3 5 4 4" xfId="11513"/>
    <cellStyle name="40% - akcent 2 3 5 5" xfId="11514"/>
    <cellStyle name="40% - akcent 2 3 5 5 2" xfId="11515"/>
    <cellStyle name="40% - akcent 2 3 5 5 2 2" xfId="11516"/>
    <cellStyle name="40% - akcent 2 3 5 5 2 3" xfId="11517"/>
    <cellStyle name="40% - akcent 2 3 5 5 3" xfId="11518"/>
    <cellStyle name="40% - akcent 2 3 5 5 4" xfId="11519"/>
    <cellStyle name="40% - akcent 2 3 5 6" xfId="11520"/>
    <cellStyle name="40% - akcent 2 3 5 6 2" xfId="11521"/>
    <cellStyle name="40% - akcent 2 3 5 6 2 2" xfId="11522"/>
    <cellStyle name="40% - akcent 2 3 5 6 2 3" xfId="11523"/>
    <cellStyle name="40% - akcent 2 3 5 6 3" xfId="11524"/>
    <cellStyle name="40% - akcent 2 3 5 6 4" xfId="11525"/>
    <cellStyle name="40% - akcent 2 3 5 7" xfId="11526"/>
    <cellStyle name="40% - akcent 2 3 5 7 2" xfId="11527"/>
    <cellStyle name="40% - akcent 2 3 5 7 3" xfId="11528"/>
    <cellStyle name="40% - akcent 2 3 5 8" xfId="11529"/>
    <cellStyle name="40% - akcent 2 3 5 9" xfId="11530"/>
    <cellStyle name="40% - akcent 2 3 6" xfId="11531"/>
    <cellStyle name="40% - akcent 2 3 6 2" xfId="11532"/>
    <cellStyle name="40% - akcent 2 3 6 2 2" xfId="11533"/>
    <cellStyle name="40% - akcent 2 3 6 2 2 2" xfId="11534"/>
    <cellStyle name="40% - akcent 2 3 6 2 2 2 2" xfId="11535"/>
    <cellStyle name="40% - akcent 2 3 6 2 2 2 3" xfId="11536"/>
    <cellStyle name="40% - akcent 2 3 6 2 2 3" xfId="11537"/>
    <cellStyle name="40% - akcent 2 3 6 2 2 4" xfId="11538"/>
    <cellStyle name="40% - akcent 2 3 6 2 3" xfId="11539"/>
    <cellStyle name="40% - akcent 2 3 6 2 3 2" xfId="11540"/>
    <cellStyle name="40% - akcent 2 3 6 2 3 2 2" xfId="11541"/>
    <cellStyle name="40% - akcent 2 3 6 2 3 2 3" xfId="11542"/>
    <cellStyle name="40% - akcent 2 3 6 2 3 3" xfId="11543"/>
    <cellStyle name="40% - akcent 2 3 6 2 3 4" xfId="11544"/>
    <cellStyle name="40% - akcent 2 3 6 2 4" xfId="11545"/>
    <cellStyle name="40% - akcent 2 3 6 2 4 2" xfId="11546"/>
    <cellStyle name="40% - akcent 2 3 6 2 4 2 2" xfId="11547"/>
    <cellStyle name="40% - akcent 2 3 6 2 4 2 3" xfId="11548"/>
    <cellStyle name="40% - akcent 2 3 6 2 4 3" xfId="11549"/>
    <cellStyle name="40% - akcent 2 3 6 2 4 4" xfId="11550"/>
    <cellStyle name="40% - akcent 2 3 6 2 5" xfId="11551"/>
    <cellStyle name="40% - akcent 2 3 6 2 5 2" xfId="11552"/>
    <cellStyle name="40% - akcent 2 3 6 2 5 3" xfId="11553"/>
    <cellStyle name="40% - akcent 2 3 6 2 6" xfId="11554"/>
    <cellStyle name="40% - akcent 2 3 6 2 7" xfId="11555"/>
    <cellStyle name="40% - akcent 2 3 6 3" xfId="11556"/>
    <cellStyle name="40% - akcent 2 3 6 3 2" xfId="11557"/>
    <cellStyle name="40% - akcent 2 3 6 3 2 2" xfId="11558"/>
    <cellStyle name="40% - akcent 2 3 6 3 2 2 2" xfId="11559"/>
    <cellStyle name="40% - akcent 2 3 6 3 2 2 3" xfId="11560"/>
    <cellStyle name="40% - akcent 2 3 6 3 2 3" xfId="11561"/>
    <cellStyle name="40% - akcent 2 3 6 3 2 4" xfId="11562"/>
    <cellStyle name="40% - akcent 2 3 6 3 3" xfId="11563"/>
    <cellStyle name="40% - akcent 2 3 6 3 3 2" xfId="11564"/>
    <cellStyle name="40% - akcent 2 3 6 3 3 2 2" xfId="11565"/>
    <cellStyle name="40% - akcent 2 3 6 3 3 2 3" xfId="11566"/>
    <cellStyle name="40% - akcent 2 3 6 3 3 3" xfId="11567"/>
    <cellStyle name="40% - akcent 2 3 6 3 3 4" xfId="11568"/>
    <cellStyle name="40% - akcent 2 3 6 3 4" xfId="11569"/>
    <cellStyle name="40% - akcent 2 3 6 3 4 2" xfId="11570"/>
    <cellStyle name="40% - akcent 2 3 6 3 4 2 2" xfId="11571"/>
    <cellStyle name="40% - akcent 2 3 6 3 4 2 3" xfId="11572"/>
    <cellStyle name="40% - akcent 2 3 6 3 4 3" xfId="11573"/>
    <cellStyle name="40% - akcent 2 3 6 3 4 4" xfId="11574"/>
    <cellStyle name="40% - akcent 2 3 6 3 5" xfId="11575"/>
    <cellStyle name="40% - akcent 2 3 6 3 5 2" xfId="11576"/>
    <cellStyle name="40% - akcent 2 3 6 3 5 3" xfId="11577"/>
    <cellStyle name="40% - akcent 2 3 6 3 6" xfId="11578"/>
    <cellStyle name="40% - akcent 2 3 6 3 7" xfId="11579"/>
    <cellStyle name="40% - akcent 2 3 6 4" xfId="11580"/>
    <cellStyle name="40% - akcent 2 3 6 4 2" xfId="11581"/>
    <cellStyle name="40% - akcent 2 3 6 4 2 2" xfId="11582"/>
    <cellStyle name="40% - akcent 2 3 6 4 2 3" xfId="11583"/>
    <cellStyle name="40% - akcent 2 3 6 4 3" xfId="11584"/>
    <cellStyle name="40% - akcent 2 3 6 4 4" xfId="11585"/>
    <cellStyle name="40% - akcent 2 3 6 5" xfId="11586"/>
    <cellStyle name="40% - akcent 2 3 6 5 2" xfId="11587"/>
    <cellStyle name="40% - akcent 2 3 6 5 2 2" xfId="11588"/>
    <cellStyle name="40% - akcent 2 3 6 5 2 3" xfId="11589"/>
    <cellStyle name="40% - akcent 2 3 6 5 3" xfId="11590"/>
    <cellStyle name="40% - akcent 2 3 6 5 4" xfId="11591"/>
    <cellStyle name="40% - akcent 2 3 6 6" xfId="11592"/>
    <cellStyle name="40% - akcent 2 3 6 6 2" xfId="11593"/>
    <cellStyle name="40% - akcent 2 3 6 6 2 2" xfId="11594"/>
    <cellStyle name="40% - akcent 2 3 6 6 2 3" xfId="11595"/>
    <cellStyle name="40% - akcent 2 3 6 6 3" xfId="11596"/>
    <cellStyle name="40% - akcent 2 3 6 6 4" xfId="11597"/>
    <cellStyle name="40% - akcent 2 3 6 7" xfId="11598"/>
    <cellStyle name="40% - akcent 2 3 6 7 2" xfId="11599"/>
    <cellStyle name="40% - akcent 2 3 6 7 3" xfId="11600"/>
    <cellStyle name="40% - akcent 2 3 6 8" xfId="11601"/>
    <cellStyle name="40% - akcent 2 3 6 9" xfId="11602"/>
    <cellStyle name="40% - akcent 2 3 7" xfId="11603"/>
    <cellStyle name="40% - akcent 2 3 7 2" xfId="11604"/>
    <cellStyle name="40% - akcent 2 3 7 2 2" xfId="11605"/>
    <cellStyle name="40% - akcent 2 3 7 2 2 2" xfId="11606"/>
    <cellStyle name="40% - akcent 2 3 7 2 2 2 2" xfId="11607"/>
    <cellStyle name="40% - akcent 2 3 7 2 2 2 3" xfId="11608"/>
    <cellStyle name="40% - akcent 2 3 7 2 2 3" xfId="11609"/>
    <cellStyle name="40% - akcent 2 3 7 2 2 4" xfId="11610"/>
    <cellStyle name="40% - akcent 2 3 7 2 3" xfId="11611"/>
    <cellStyle name="40% - akcent 2 3 7 2 3 2" xfId="11612"/>
    <cellStyle name="40% - akcent 2 3 7 2 3 2 2" xfId="11613"/>
    <cellStyle name="40% - akcent 2 3 7 2 3 2 3" xfId="11614"/>
    <cellStyle name="40% - akcent 2 3 7 2 3 3" xfId="11615"/>
    <cellStyle name="40% - akcent 2 3 7 2 3 4" xfId="11616"/>
    <cellStyle name="40% - akcent 2 3 7 2 4" xfId="11617"/>
    <cellStyle name="40% - akcent 2 3 7 2 4 2" xfId="11618"/>
    <cellStyle name="40% - akcent 2 3 7 2 4 2 2" xfId="11619"/>
    <cellStyle name="40% - akcent 2 3 7 2 4 2 3" xfId="11620"/>
    <cellStyle name="40% - akcent 2 3 7 2 4 3" xfId="11621"/>
    <cellStyle name="40% - akcent 2 3 7 2 4 4" xfId="11622"/>
    <cellStyle name="40% - akcent 2 3 7 2 5" xfId="11623"/>
    <cellStyle name="40% - akcent 2 3 7 2 5 2" xfId="11624"/>
    <cellStyle name="40% - akcent 2 3 7 2 5 3" xfId="11625"/>
    <cellStyle name="40% - akcent 2 3 7 2 6" xfId="11626"/>
    <cellStyle name="40% - akcent 2 3 7 2 7" xfId="11627"/>
    <cellStyle name="40% - akcent 2 3 7 3" xfId="11628"/>
    <cellStyle name="40% - akcent 2 3 7 3 2" xfId="11629"/>
    <cellStyle name="40% - akcent 2 3 7 3 2 2" xfId="11630"/>
    <cellStyle name="40% - akcent 2 3 7 3 2 3" xfId="11631"/>
    <cellStyle name="40% - akcent 2 3 7 3 3" xfId="11632"/>
    <cellStyle name="40% - akcent 2 3 7 3 4" xfId="11633"/>
    <cellStyle name="40% - akcent 2 3 7 4" xfId="11634"/>
    <cellStyle name="40% - akcent 2 3 7 4 2" xfId="11635"/>
    <cellStyle name="40% - akcent 2 3 7 4 2 2" xfId="11636"/>
    <cellStyle name="40% - akcent 2 3 7 4 2 3" xfId="11637"/>
    <cellStyle name="40% - akcent 2 3 7 4 3" xfId="11638"/>
    <cellStyle name="40% - akcent 2 3 7 4 4" xfId="11639"/>
    <cellStyle name="40% - akcent 2 3 7 5" xfId="11640"/>
    <cellStyle name="40% - akcent 2 3 7 5 2" xfId="11641"/>
    <cellStyle name="40% - akcent 2 3 7 5 2 2" xfId="11642"/>
    <cellStyle name="40% - akcent 2 3 7 5 2 3" xfId="11643"/>
    <cellStyle name="40% - akcent 2 3 7 5 3" xfId="11644"/>
    <cellStyle name="40% - akcent 2 3 7 5 4" xfId="11645"/>
    <cellStyle name="40% - akcent 2 3 7 6" xfId="11646"/>
    <cellStyle name="40% - akcent 2 3 7 6 2" xfId="11647"/>
    <cellStyle name="40% - akcent 2 3 7 6 3" xfId="11648"/>
    <cellStyle name="40% - akcent 2 3 7 7" xfId="11649"/>
    <cellStyle name="40% - akcent 2 3 7 8" xfId="11650"/>
    <cellStyle name="40% - akcent 2 3 8" xfId="11651"/>
    <cellStyle name="40% - akcent 2 3 8 2" xfId="11652"/>
    <cellStyle name="40% - akcent 2 3 8 2 2" xfId="11653"/>
    <cellStyle name="40% - akcent 2 3 8 2 2 2" xfId="11654"/>
    <cellStyle name="40% - akcent 2 3 8 2 2 2 2" xfId="11655"/>
    <cellStyle name="40% - akcent 2 3 8 2 2 2 3" xfId="11656"/>
    <cellStyle name="40% - akcent 2 3 8 2 2 3" xfId="11657"/>
    <cellStyle name="40% - akcent 2 3 8 2 2 4" xfId="11658"/>
    <cellStyle name="40% - akcent 2 3 8 2 3" xfId="11659"/>
    <cellStyle name="40% - akcent 2 3 8 2 3 2" xfId="11660"/>
    <cellStyle name="40% - akcent 2 3 8 2 3 2 2" xfId="11661"/>
    <cellStyle name="40% - akcent 2 3 8 2 3 2 3" xfId="11662"/>
    <cellStyle name="40% - akcent 2 3 8 2 3 3" xfId="11663"/>
    <cellStyle name="40% - akcent 2 3 8 2 3 4" xfId="11664"/>
    <cellStyle name="40% - akcent 2 3 8 2 4" xfId="11665"/>
    <cellStyle name="40% - akcent 2 3 8 2 4 2" xfId="11666"/>
    <cellStyle name="40% - akcent 2 3 8 2 4 2 2" xfId="11667"/>
    <cellStyle name="40% - akcent 2 3 8 2 4 2 3" xfId="11668"/>
    <cellStyle name="40% - akcent 2 3 8 2 4 3" xfId="11669"/>
    <cellStyle name="40% - akcent 2 3 8 2 4 4" xfId="11670"/>
    <cellStyle name="40% - akcent 2 3 8 2 5" xfId="11671"/>
    <cellStyle name="40% - akcent 2 3 8 2 5 2" xfId="11672"/>
    <cellStyle name="40% - akcent 2 3 8 2 5 3" xfId="11673"/>
    <cellStyle name="40% - akcent 2 3 8 2 6" xfId="11674"/>
    <cellStyle name="40% - akcent 2 3 8 2 7" xfId="11675"/>
    <cellStyle name="40% - akcent 2 3 8 3" xfId="11676"/>
    <cellStyle name="40% - akcent 2 3 8 3 2" xfId="11677"/>
    <cellStyle name="40% - akcent 2 3 8 3 2 2" xfId="11678"/>
    <cellStyle name="40% - akcent 2 3 8 3 2 3" xfId="11679"/>
    <cellStyle name="40% - akcent 2 3 8 3 3" xfId="11680"/>
    <cellStyle name="40% - akcent 2 3 8 3 4" xfId="11681"/>
    <cellStyle name="40% - akcent 2 3 8 4" xfId="11682"/>
    <cellStyle name="40% - akcent 2 3 8 4 2" xfId="11683"/>
    <cellStyle name="40% - akcent 2 3 8 4 2 2" xfId="11684"/>
    <cellStyle name="40% - akcent 2 3 8 4 2 3" xfId="11685"/>
    <cellStyle name="40% - akcent 2 3 8 4 3" xfId="11686"/>
    <cellStyle name="40% - akcent 2 3 8 4 4" xfId="11687"/>
    <cellStyle name="40% - akcent 2 3 8 5" xfId="11688"/>
    <cellStyle name="40% - akcent 2 3 8 5 2" xfId="11689"/>
    <cellStyle name="40% - akcent 2 3 8 5 2 2" xfId="11690"/>
    <cellStyle name="40% - akcent 2 3 8 5 2 3" xfId="11691"/>
    <cellStyle name="40% - akcent 2 3 8 5 3" xfId="11692"/>
    <cellStyle name="40% - akcent 2 3 8 5 4" xfId="11693"/>
    <cellStyle name="40% - akcent 2 3 8 6" xfId="11694"/>
    <cellStyle name="40% - akcent 2 3 8 6 2" xfId="11695"/>
    <cellStyle name="40% - akcent 2 3 8 6 3" xfId="11696"/>
    <cellStyle name="40% - akcent 2 3 8 7" xfId="11697"/>
    <cellStyle name="40% - akcent 2 3 8 8" xfId="11698"/>
    <cellStyle name="40% - akcent 2 3 9" xfId="11699"/>
    <cellStyle name="40% - akcent 2 3 9 2" xfId="11700"/>
    <cellStyle name="40% - akcent 2 3 9 2 2" xfId="11701"/>
    <cellStyle name="40% - akcent 2 3 9 2 2 2" xfId="11702"/>
    <cellStyle name="40% - akcent 2 3 9 2 2 3" xfId="11703"/>
    <cellStyle name="40% - akcent 2 3 9 2 3" xfId="11704"/>
    <cellStyle name="40% - akcent 2 3 9 2 4" xfId="11705"/>
    <cellStyle name="40% - akcent 2 3 9 3" xfId="11706"/>
    <cellStyle name="40% - akcent 2 3 9 3 2" xfId="11707"/>
    <cellStyle name="40% - akcent 2 3 9 3 2 2" xfId="11708"/>
    <cellStyle name="40% - akcent 2 3 9 3 2 3" xfId="11709"/>
    <cellStyle name="40% - akcent 2 3 9 3 3" xfId="11710"/>
    <cellStyle name="40% - akcent 2 3 9 3 4" xfId="11711"/>
    <cellStyle name="40% - akcent 2 3 9 4" xfId="11712"/>
    <cellStyle name="40% - akcent 2 3 9 4 2" xfId="11713"/>
    <cellStyle name="40% - akcent 2 3 9 4 2 2" xfId="11714"/>
    <cellStyle name="40% - akcent 2 3 9 4 2 3" xfId="11715"/>
    <cellStyle name="40% - akcent 2 3 9 4 3" xfId="11716"/>
    <cellStyle name="40% - akcent 2 3 9 4 4" xfId="11717"/>
    <cellStyle name="40% - akcent 2 3 9 5" xfId="11718"/>
    <cellStyle name="40% - akcent 2 3 9 5 2" xfId="11719"/>
    <cellStyle name="40% - akcent 2 3 9 5 3" xfId="11720"/>
    <cellStyle name="40% - akcent 2 3 9 6" xfId="11721"/>
    <cellStyle name="40% - akcent 2 3 9 7" xfId="11722"/>
    <cellStyle name="40% - akcent 2 4" xfId="11723"/>
    <cellStyle name="40% - akcent 2 5" xfId="11724"/>
    <cellStyle name="40% - akcent 2 6" xfId="11725"/>
    <cellStyle name="40% - akcent 3 2" xfId="11726"/>
    <cellStyle name="40% - akcent 3 2 2" xfId="11727"/>
    <cellStyle name="40% - akcent 3 2 3" xfId="11728"/>
    <cellStyle name="40% - akcent 3 2 4" xfId="11729"/>
    <cellStyle name="40% - akcent 3 3" xfId="11730"/>
    <cellStyle name="40% - akcent 3 3 10" xfId="11731"/>
    <cellStyle name="40% - akcent 3 3 10 2" xfId="11732"/>
    <cellStyle name="40% - akcent 3 3 10 2 2" xfId="11733"/>
    <cellStyle name="40% - akcent 3 3 10 2 2 2" xfId="11734"/>
    <cellStyle name="40% - akcent 3 3 10 2 2 3" xfId="11735"/>
    <cellStyle name="40% - akcent 3 3 10 2 3" xfId="11736"/>
    <cellStyle name="40% - akcent 3 3 10 2 4" xfId="11737"/>
    <cellStyle name="40% - akcent 3 3 10 3" xfId="11738"/>
    <cellStyle name="40% - akcent 3 3 10 3 2" xfId="11739"/>
    <cellStyle name="40% - akcent 3 3 10 3 3" xfId="11740"/>
    <cellStyle name="40% - akcent 3 3 10 4" xfId="11741"/>
    <cellStyle name="40% - akcent 3 3 10 5" xfId="11742"/>
    <cellStyle name="40% - akcent 3 3 11" xfId="11743"/>
    <cellStyle name="40% - akcent 3 3 11 2" xfId="11744"/>
    <cellStyle name="40% - akcent 3 3 11 2 2" xfId="11745"/>
    <cellStyle name="40% - akcent 3 3 11 2 3" xfId="11746"/>
    <cellStyle name="40% - akcent 3 3 11 3" xfId="11747"/>
    <cellStyle name="40% - akcent 3 3 11 4" xfId="11748"/>
    <cellStyle name="40% - akcent 3 3 12" xfId="11749"/>
    <cellStyle name="40% - akcent 3 3 12 2" xfId="11750"/>
    <cellStyle name="40% - akcent 3 3 12 2 2" xfId="11751"/>
    <cellStyle name="40% - akcent 3 3 12 2 3" xfId="11752"/>
    <cellStyle name="40% - akcent 3 3 12 3" xfId="11753"/>
    <cellStyle name="40% - akcent 3 3 12 4" xfId="11754"/>
    <cellStyle name="40% - akcent 3 3 13" xfId="11755"/>
    <cellStyle name="40% - akcent 3 3 13 2" xfId="11756"/>
    <cellStyle name="40% - akcent 3 3 13 2 2" xfId="11757"/>
    <cellStyle name="40% - akcent 3 3 13 2 3" xfId="11758"/>
    <cellStyle name="40% - akcent 3 3 13 3" xfId="11759"/>
    <cellStyle name="40% - akcent 3 3 13 4" xfId="11760"/>
    <cellStyle name="40% - akcent 3 3 14" xfId="11761"/>
    <cellStyle name="40% - akcent 3 3 14 2" xfId="11762"/>
    <cellStyle name="40% - akcent 3 3 14 3" xfId="11763"/>
    <cellStyle name="40% - akcent 3 3 15" xfId="11764"/>
    <cellStyle name="40% - akcent 3 3 15 2" xfId="11765"/>
    <cellStyle name="40% - akcent 3 3 15 3" xfId="11766"/>
    <cellStyle name="40% - akcent 3 3 16" xfId="11767"/>
    <cellStyle name="40% - akcent 3 3 17" xfId="11768"/>
    <cellStyle name="40% - akcent 3 3 18" xfId="11769"/>
    <cellStyle name="40% - akcent 3 3 2" xfId="11770"/>
    <cellStyle name="40% - akcent 3 3 2 10" xfId="11771"/>
    <cellStyle name="40% - akcent 3 3 2 10 2" xfId="11772"/>
    <cellStyle name="40% - akcent 3 3 2 10 2 2" xfId="11773"/>
    <cellStyle name="40% - akcent 3 3 2 10 2 3" xfId="11774"/>
    <cellStyle name="40% - akcent 3 3 2 10 3" xfId="11775"/>
    <cellStyle name="40% - akcent 3 3 2 10 4" xfId="11776"/>
    <cellStyle name="40% - akcent 3 3 2 11" xfId="11777"/>
    <cellStyle name="40% - akcent 3 3 2 11 2" xfId="11778"/>
    <cellStyle name="40% - akcent 3 3 2 11 3" xfId="11779"/>
    <cellStyle name="40% - akcent 3 3 2 12" xfId="11780"/>
    <cellStyle name="40% - akcent 3 3 2 12 2" xfId="11781"/>
    <cellStyle name="40% - akcent 3 3 2 12 3" xfId="11782"/>
    <cellStyle name="40% - akcent 3 3 2 13" xfId="11783"/>
    <cellStyle name="40% - akcent 3 3 2 14" xfId="11784"/>
    <cellStyle name="40% - akcent 3 3 2 15" xfId="11785"/>
    <cellStyle name="40% - akcent 3 3 2 2" xfId="11786"/>
    <cellStyle name="40% - akcent 3 3 2 2 10" xfId="11787"/>
    <cellStyle name="40% - akcent 3 3 2 2 11" xfId="11788"/>
    <cellStyle name="40% - akcent 3 3 2 2 2" xfId="11789"/>
    <cellStyle name="40% - akcent 3 3 2 2 2 2" xfId="11790"/>
    <cellStyle name="40% - akcent 3 3 2 2 2 2 2" xfId="11791"/>
    <cellStyle name="40% - akcent 3 3 2 2 2 2 2 2" xfId="11792"/>
    <cellStyle name="40% - akcent 3 3 2 2 2 2 2 2 2" xfId="11793"/>
    <cellStyle name="40% - akcent 3 3 2 2 2 2 2 2 3" xfId="11794"/>
    <cellStyle name="40% - akcent 3 3 2 2 2 2 2 3" xfId="11795"/>
    <cellStyle name="40% - akcent 3 3 2 2 2 2 2 4" xfId="11796"/>
    <cellStyle name="40% - akcent 3 3 2 2 2 2 3" xfId="11797"/>
    <cellStyle name="40% - akcent 3 3 2 2 2 2 3 2" xfId="11798"/>
    <cellStyle name="40% - akcent 3 3 2 2 2 2 3 2 2" xfId="11799"/>
    <cellStyle name="40% - akcent 3 3 2 2 2 2 3 2 3" xfId="11800"/>
    <cellStyle name="40% - akcent 3 3 2 2 2 2 3 3" xfId="11801"/>
    <cellStyle name="40% - akcent 3 3 2 2 2 2 3 4" xfId="11802"/>
    <cellStyle name="40% - akcent 3 3 2 2 2 2 4" xfId="11803"/>
    <cellStyle name="40% - akcent 3 3 2 2 2 2 4 2" xfId="11804"/>
    <cellStyle name="40% - akcent 3 3 2 2 2 2 4 2 2" xfId="11805"/>
    <cellStyle name="40% - akcent 3 3 2 2 2 2 4 2 3" xfId="11806"/>
    <cellStyle name="40% - akcent 3 3 2 2 2 2 4 3" xfId="11807"/>
    <cellStyle name="40% - akcent 3 3 2 2 2 2 4 4" xfId="11808"/>
    <cellStyle name="40% - akcent 3 3 2 2 2 2 5" xfId="11809"/>
    <cellStyle name="40% - akcent 3 3 2 2 2 2 5 2" xfId="11810"/>
    <cellStyle name="40% - akcent 3 3 2 2 2 2 5 3" xfId="11811"/>
    <cellStyle name="40% - akcent 3 3 2 2 2 2 6" xfId="11812"/>
    <cellStyle name="40% - akcent 3 3 2 2 2 2 7" xfId="11813"/>
    <cellStyle name="40% - akcent 3 3 2 2 2 3" xfId="11814"/>
    <cellStyle name="40% - akcent 3 3 2 2 2 3 2" xfId="11815"/>
    <cellStyle name="40% - akcent 3 3 2 2 2 3 2 2" xfId="11816"/>
    <cellStyle name="40% - akcent 3 3 2 2 2 3 2 2 2" xfId="11817"/>
    <cellStyle name="40% - akcent 3 3 2 2 2 3 2 2 3" xfId="11818"/>
    <cellStyle name="40% - akcent 3 3 2 2 2 3 2 3" xfId="11819"/>
    <cellStyle name="40% - akcent 3 3 2 2 2 3 2 4" xfId="11820"/>
    <cellStyle name="40% - akcent 3 3 2 2 2 3 3" xfId="11821"/>
    <cellStyle name="40% - akcent 3 3 2 2 2 3 3 2" xfId="11822"/>
    <cellStyle name="40% - akcent 3 3 2 2 2 3 3 2 2" xfId="11823"/>
    <cellStyle name="40% - akcent 3 3 2 2 2 3 3 2 3" xfId="11824"/>
    <cellStyle name="40% - akcent 3 3 2 2 2 3 3 3" xfId="11825"/>
    <cellStyle name="40% - akcent 3 3 2 2 2 3 3 4" xfId="11826"/>
    <cellStyle name="40% - akcent 3 3 2 2 2 3 4" xfId="11827"/>
    <cellStyle name="40% - akcent 3 3 2 2 2 3 4 2" xfId="11828"/>
    <cellStyle name="40% - akcent 3 3 2 2 2 3 4 2 2" xfId="11829"/>
    <cellStyle name="40% - akcent 3 3 2 2 2 3 4 2 3" xfId="11830"/>
    <cellStyle name="40% - akcent 3 3 2 2 2 3 4 3" xfId="11831"/>
    <cellStyle name="40% - akcent 3 3 2 2 2 3 4 4" xfId="11832"/>
    <cellStyle name="40% - akcent 3 3 2 2 2 3 5" xfId="11833"/>
    <cellStyle name="40% - akcent 3 3 2 2 2 3 5 2" xfId="11834"/>
    <cellStyle name="40% - akcent 3 3 2 2 2 3 5 3" xfId="11835"/>
    <cellStyle name="40% - akcent 3 3 2 2 2 3 6" xfId="11836"/>
    <cellStyle name="40% - akcent 3 3 2 2 2 3 7" xfId="11837"/>
    <cellStyle name="40% - akcent 3 3 2 2 2 4" xfId="11838"/>
    <cellStyle name="40% - akcent 3 3 2 2 2 4 2" xfId="11839"/>
    <cellStyle name="40% - akcent 3 3 2 2 2 4 2 2" xfId="11840"/>
    <cellStyle name="40% - akcent 3 3 2 2 2 4 2 3" xfId="11841"/>
    <cellStyle name="40% - akcent 3 3 2 2 2 4 3" xfId="11842"/>
    <cellStyle name="40% - akcent 3 3 2 2 2 4 4" xfId="11843"/>
    <cellStyle name="40% - akcent 3 3 2 2 2 5" xfId="11844"/>
    <cellStyle name="40% - akcent 3 3 2 2 2 5 2" xfId="11845"/>
    <cellStyle name="40% - akcent 3 3 2 2 2 5 2 2" xfId="11846"/>
    <cellStyle name="40% - akcent 3 3 2 2 2 5 2 3" xfId="11847"/>
    <cellStyle name="40% - akcent 3 3 2 2 2 5 3" xfId="11848"/>
    <cellStyle name="40% - akcent 3 3 2 2 2 5 4" xfId="11849"/>
    <cellStyle name="40% - akcent 3 3 2 2 2 6" xfId="11850"/>
    <cellStyle name="40% - akcent 3 3 2 2 2 6 2" xfId="11851"/>
    <cellStyle name="40% - akcent 3 3 2 2 2 6 2 2" xfId="11852"/>
    <cellStyle name="40% - akcent 3 3 2 2 2 6 2 3" xfId="11853"/>
    <cellStyle name="40% - akcent 3 3 2 2 2 6 3" xfId="11854"/>
    <cellStyle name="40% - akcent 3 3 2 2 2 6 4" xfId="11855"/>
    <cellStyle name="40% - akcent 3 3 2 2 2 7" xfId="11856"/>
    <cellStyle name="40% - akcent 3 3 2 2 2 7 2" xfId="11857"/>
    <cellStyle name="40% - akcent 3 3 2 2 2 7 3" xfId="11858"/>
    <cellStyle name="40% - akcent 3 3 2 2 2 8" xfId="11859"/>
    <cellStyle name="40% - akcent 3 3 2 2 2 9" xfId="11860"/>
    <cellStyle name="40% - akcent 3 3 2 2 3" xfId="11861"/>
    <cellStyle name="40% - akcent 3 3 2 2 3 2" xfId="11862"/>
    <cellStyle name="40% - akcent 3 3 2 2 3 2 2" xfId="11863"/>
    <cellStyle name="40% - akcent 3 3 2 2 3 2 2 2" xfId="11864"/>
    <cellStyle name="40% - akcent 3 3 2 2 3 2 2 3" xfId="11865"/>
    <cellStyle name="40% - akcent 3 3 2 2 3 2 3" xfId="11866"/>
    <cellStyle name="40% - akcent 3 3 2 2 3 2 4" xfId="11867"/>
    <cellStyle name="40% - akcent 3 3 2 2 3 3" xfId="11868"/>
    <cellStyle name="40% - akcent 3 3 2 2 3 3 2" xfId="11869"/>
    <cellStyle name="40% - akcent 3 3 2 2 3 3 2 2" xfId="11870"/>
    <cellStyle name="40% - akcent 3 3 2 2 3 3 2 3" xfId="11871"/>
    <cellStyle name="40% - akcent 3 3 2 2 3 3 3" xfId="11872"/>
    <cellStyle name="40% - akcent 3 3 2 2 3 3 4" xfId="11873"/>
    <cellStyle name="40% - akcent 3 3 2 2 3 4" xfId="11874"/>
    <cellStyle name="40% - akcent 3 3 2 2 3 4 2" xfId="11875"/>
    <cellStyle name="40% - akcent 3 3 2 2 3 4 2 2" xfId="11876"/>
    <cellStyle name="40% - akcent 3 3 2 2 3 4 2 3" xfId="11877"/>
    <cellStyle name="40% - akcent 3 3 2 2 3 4 3" xfId="11878"/>
    <cellStyle name="40% - akcent 3 3 2 2 3 4 4" xfId="11879"/>
    <cellStyle name="40% - akcent 3 3 2 2 3 5" xfId="11880"/>
    <cellStyle name="40% - akcent 3 3 2 2 3 5 2" xfId="11881"/>
    <cellStyle name="40% - akcent 3 3 2 2 3 5 3" xfId="11882"/>
    <cellStyle name="40% - akcent 3 3 2 2 3 6" xfId="11883"/>
    <cellStyle name="40% - akcent 3 3 2 2 3 7" xfId="11884"/>
    <cellStyle name="40% - akcent 3 3 2 2 4" xfId="11885"/>
    <cellStyle name="40% - akcent 3 3 2 2 4 2" xfId="11886"/>
    <cellStyle name="40% - akcent 3 3 2 2 4 2 2" xfId="11887"/>
    <cellStyle name="40% - akcent 3 3 2 2 4 2 2 2" xfId="11888"/>
    <cellStyle name="40% - akcent 3 3 2 2 4 2 2 3" xfId="11889"/>
    <cellStyle name="40% - akcent 3 3 2 2 4 2 3" xfId="11890"/>
    <cellStyle name="40% - akcent 3 3 2 2 4 2 4" xfId="11891"/>
    <cellStyle name="40% - akcent 3 3 2 2 4 3" xfId="11892"/>
    <cellStyle name="40% - akcent 3 3 2 2 4 3 2" xfId="11893"/>
    <cellStyle name="40% - akcent 3 3 2 2 4 3 2 2" xfId="11894"/>
    <cellStyle name="40% - akcent 3 3 2 2 4 3 2 3" xfId="11895"/>
    <cellStyle name="40% - akcent 3 3 2 2 4 3 3" xfId="11896"/>
    <cellStyle name="40% - akcent 3 3 2 2 4 3 4" xfId="11897"/>
    <cellStyle name="40% - akcent 3 3 2 2 4 4" xfId="11898"/>
    <cellStyle name="40% - akcent 3 3 2 2 4 4 2" xfId="11899"/>
    <cellStyle name="40% - akcent 3 3 2 2 4 4 2 2" xfId="11900"/>
    <cellStyle name="40% - akcent 3 3 2 2 4 4 2 3" xfId="11901"/>
    <cellStyle name="40% - akcent 3 3 2 2 4 4 3" xfId="11902"/>
    <cellStyle name="40% - akcent 3 3 2 2 4 4 4" xfId="11903"/>
    <cellStyle name="40% - akcent 3 3 2 2 4 5" xfId="11904"/>
    <cellStyle name="40% - akcent 3 3 2 2 4 5 2" xfId="11905"/>
    <cellStyle name="40% - akcent 3 3 2 2 4 5 3" xfId="11906"/>
    <cellStyle name="40% - akcent 3 3 2 2 4 6" xfId="11907"/>
    <cellStyle name="40% - akcent 3 3 2 2 4 7" xfId="11908"/>
    <cellStyle name="40% - akcent 3 3 2 2 5" xfId="11909"/>
    <cellStyle name="40% - akcent 3 3 2 2 5 2" xfId="11910"/>
    <cellStyle name="40% - akcent 3 3 2 2 5 2 2" xfId="11911"/>
    <cellStyle name="40% - akcent 3 3 2 2 5 2 2 2" xfId="11912"/>
    <cellStyle name="40% - akcent 3 3 2 2 5 2 2 3" xfId="11913"/>
    <cellStyle name="40% - akcent 3 3 2 2 5 2 3" xfId="11914"/>
    <cellStyle name="40% - akcent 3 3 2 2 5 2 4" xfId="11915"/>
    <cellStyle name="40% - akcent 3 3 2 2 5 3" xfId="11916"/>
    <cellStyle name="40% - akcent 3 3 2 2 5 3 2" xfId="11917"/>
    <cellStyle name="40% - akcent 3 3 2 2 5 3 3" xfId="11918"/>
    <cellStyle name="40% - akcent 3 3 2 2 5 4" xfId="11919"/>
    <cellStyle name="40% - akcent 3 3 2 2 5 5" xfId="11920"/>
    <cellStyle name="40% - akcent 3 3 2 2 6" xfId="11921"/>
    <cellStyle name="40% - akcent 3 3 2 2 6 2" xfId="11922"/>
    <cellStyle name="40% - akcent 3 3 2 2 6 2 2" xfId="11923"/>
    <cellStyle name="40% - akcent 3 3 2 2 6 2 3" xfId="11924"/>
    <cellStyle name="40% - akcent 3 3 2 2 6 3" xfId="11925"/>
    <cellStyle name="40% - akcent 3 3 2 2 6 4" xfId="11926"/>
    <cellStyle name="40% - akcent 3 3 2 2 7" xfId="11927"/>
    <cellStyle name="40% - akcent 3 3 2 2 7 2" xfId="11928"/>
    <cellStyle name="40% - akcent 3 3 2 2 7 2 2" xfId="11929"/>
    <cellStyle name="40% - akcent 3 3 2 2 7 2 3" xfId="11930"/>
    <cellStyle name="40% - akcent 3 3 2 2 7 3" xfId="11931"/>
    <cellStyle name="40% - akcent 3 3 2 2 7 4" xfId="11932"/>
    <cellStyle name="40% - akcent 3 3 2 2 8" xfId="11933"/>
    <cellStyle name="40% - akcent 3 3 2 2 8 2" xfId="11934"/>
    <cellStyle name="40% - akcent 3 3 2 2 8 2 2" xfId="11935"/>
    <cellStyle name="40% - akcent 3 3 2 2 8 2 3" xfId="11936"/>
    <cellStyle name="40% - akcent 3 3 2 2 8 3" xfId="11937"/>
    <cellStyle name="40% - akcent 3 3 2 2 8 4" xfId="11938"/>
    <cellStyle name="40% - akcent 3 3 2 2 9" xfId="11939"/>
    <cellStyle name="40% - akcent 3 3 2 2 9 2" xfId="11940"/>
    <cellStyle name="40% - akcent 3 3 2 2 9 3" xfId="11941"/>
    <cellStyle name="40% - akcent 3 3 2 3" xfId="11942"/>
    <cellStyle name="40% - akcent 3 3 2 3 10" xfId="11943"/>
    <cellStyle name="40% - akcent 3 3 2 3 2" xfId="11944"/>
    <cellStyle name="40% - akcent 3 3 2 3 2 2" xfId="11945"/>
    <cellStyle name="40% - akcent 3 3 2 3 2 2 2" xfId="11946"/>
    <cellStyle name="40% - akcent 3 3 2 3 2 2 2 2" xfId="11947"/>
    <cellStyle name="40% - akcent 3 3 2 3 2 2 2 3" xfId="11948"/>
    <cellStyle name="40% - akcent 3 3 2 3 2 2 3" xfId="11949"/>
    <cellStyle name="40% - akcent 3 3 2 3 2 2 4" xfId="11950"/>
    <cellStyle name="40% - akcent 3 3 2 3 2 3" xfId="11951"/>
    <cellStyle name="40% - akcent 3 3 2 3 2 3 2" xfId="11952"/>
    <cellStyle name="40% - akcent 3 3 2 3 2 3 2 2" xfId="11953"/>
    <cellStyle name="40% - akcent 3 3 2 3 2 3 2 3" xfId="11954"/>
    <cellStyle name="40% - akcent 3 3 2 3 2 3 3" xfId="11955"/>
    <cellStyle name="40% - akcent 3 3 2 3 2 3 4" xfId="11956"/>
    <cellStyle name="40% - akcent 3 3 2 3 2 4" xfId="11957"/>
    <cellStyle name="40% - akcent 3 3 2 3 2 4 2" xfId="11958"/>
    <cellStyle name="40% - akcent 3 3 2 3 2 4 2 2" xfId="11959"/>
    <cellStyle name="40% - akcent 3 3 2 3 2 4 2 3" xfId="11960"/>
    <cellStyle name="40% - akcent 3 3 2 3 2 4 3" xfId="11961"/>
    <cellStyle name="40% - akcent 3 3 2 3 2 4 4" xfId="11962"/>
    <cellStyle name="40% - akcent 3 3 2 3 2 5" xfId="11963"/>
    <cellStyle name="40% - akcent 3 3 2 3 2 5 2" xfId="11964"/>
    <cellStyle name="40% - akcent 3 3 2 3 2 5 3" xfId="11965"/>
    <cellStyle name="40% - akcent 3 3 2 3 2 6" xfId="11966"/>
    <cellStyle name="40% - akcent 3 3 2 3 2 7" xfId="11967"/>
    <cellStyle name="40% - akcent 3 3 2 3 3" xfId="11968"/>
    <cellStyle name="40% - akcent 3 3 2 3 3 2" xfId="11969"/>
    <cellStyle name="40% - akcent 3 3 2 3 3 2 2" xfId="11970"/>
    <cellStyle name="40% - akcent 3 3 2 3 3 2 2 2" xfId="11971"/>
    <cellStyle name="40% - akcent 3 3 2 3 3 2 2 3" xfId="11972"/>
    <cellStyle name="40% - akcent 3 3 2 3 3 2 3" xfId="11973"/>
    <cellStyle name="40% - akcent 3 3 2 3 3 2 4" xfId="11974"/>
    <cellStyle name="40% - akcent 3 3 2 3 3 3" xfId="11975"/>
    <cellStyle name="40% - akcent 3 3 2 3 3 3 2" xfId="11976"/>
    <cellStyle name="40% - akcent 3 3 2 3 3 3 2 2" xfId="11977"/>
    <cellStyle name="40% - akcent 3 3 2 3 3 3 2 3" xfId="11978"/>
    <cellStyle name="40% - akcent 3 3 2 3 3 3 3" xfId="11979"/>
    <cellStyle name="40% - akcent 3 3 2 3 3 3 4" xfId="11980"/>
    <cellStyle name="40% - akcent 3 3 2 3 3 4" xfId="11981"/>
    <cellStyle name="40% - akcent 3 3 2 3 3 4 2" xfId="11982"/>
    <cellStyle name="40% - akcent 3 3 2 3 3 4 2 2" xfId="11983"/>
    <cellStyle name="40% - akcent 3 3 2 3 3 4 2 3" xfId="11984"/>
    <cellStyle name="40% - akcent 3 3 2 3 3 4 3" xfId="11985"/>
    <cellStyle name="40% - akcent 3 3 2 3 3 4 4" xfId="11986"/>
    <cellStyle name="40% - akcent 3 3 2 3 3 5" xfId="11987"/>
    <cellStyle name="40% - akcent 3 3 2 3 3 5 2" xfId="11988"/>
    <cellStyle name="40% - akcent 3 3 2 3 3 5 3" xfId="11989"/>
    <cellStyle name="40% - akcent 3 3 2 3 3 6" xfId="11990"/>
    <cellStyle name="40% - akcent 3 3 2 3 3 7" xfId="11991"/>
    <cellStyle name="40% - akcent 3 3 2 3 4" xfId="11992"/>
    <cellStyle name="40% - akcent 3 3 2 3 4 2" xfId="11993"/>
    <cellStyle name="40% - akcent 3 3 2 3 4 2 2" xfId="11994"/>
    <cellStyle name="40% - akcent 3 3 2 3 4 2 2 2" xfId="11995"/>
    <cellStyle name="40% - akcent 3 3 2 3 4 2 2 3" xfId="11996"/>
    <cellStyle name="40% - akcent 3 3 2 3 4 2 3" xfId="11997"/>
    <cellStyle name="40% - akcent 3 3 2 3 4 2 4" xfId="11998"/>
    <cellStyle name="40% - akcent 3 3 2 3 4 3" xfId="11999"/>
    <cellStyle name="40% - akcent 3 3 2 3 4 3 2" xfId="12000"/>
    <cellStyle name="40% - akcent 3 3 2 3 4 3 3" xfId="12001"/>
    <cellStyle name="40% - akcent 3 3 2 3 4 4" xfId="12002"/>
    <cellStyle name="40% - akcent 3 3 2 3 4 5" xfId="12003"/>
    <cellStyle name="40% - akcent 3 3 2 3 5" xfId="12004"/>
    <cellStyle name="40% - akcent 3 3 2 3 5 2" xfId="12005"/>
    <cellStyle name="40% - akcent 3 3 2 3 5 2 2" xfId="12006"/>
    <cellStyle name="40% - akcent 3 3 2 3 5 2 3" xfId="12007"/>
    <cellStyle name="40% - akcent 3 3 2 3 5 3" xfId="12008"/>
    <cellStyle name="40% - akcent 3 3 2 3 5 4" xfId="12009"/>
    <cellStyle name="40% - akcent 3 3 2 3 6" xfId="12010"/>
    <cellStyle name="40% - akcent 3 3 2 3 6 2" xfId="12011"/>
    <cellStyle name="40% - akcent 3 3 2 3 6 2 2" xfId="12012"/>
    <cellStyle name="40% - akcent 3 3 2 3 6 2 3" xfId="12013"/>
    <cellStyle name="40% - akcent 3 3 2 3 6 3" xfId="12014"/>
    <cellStyle name="40% - akcent 3 3 2 3 6 4" xfId="12015"/>
    <cellStyle name="40% - akcent 3 3 2 3 7" xfId="12016"/>
    <cellStyle name="40% - akcent 3 3 2 3 7 2" xfId="12017"/>
    <cellStyle name="40% - akcent 3 3 2 3 7 2 2" xfId="12018"/>
    <cellStyle name="40% - akcent 3 3 2 3 7 2 3" xfId="12019"/>
    <cellStyle name="40% - akcent 3 3 2 3 7 3" xfId="12020"/>
    <cellStyle name="40% - akcent 3 3 2 3 7 4" xfId="12021"/>
    <cellStyle name="40% - akcent 3 3 2 3 8" xfId="12022"/>
    <cellStyle name="40% - akcent 3 3 2 3 8 2" xfId="12023"/>
    <cellStyle name="40% - akcent 3 3 2 3 8 3" xfId="12024"/>
    <cellStyle name="40% - akcent 3 3 2 3 9" xfId="12025"/>
    <cellStyle name="40% - akcent 3 3 2 4" xfId="12026"/>
    <cellStyle name="40% - akcent 3 3 2 4 2" xfId="12027"/>
    <cellStyle name="40% - akcent 3 3 2 4 2 2" xfId="12028"/>
    <cellStyle name="40% - akcent 3 3 2 4 2 2 2" xfId="12029"/>
    <cellStyle name="40% - akcent 3 3 2 4 2 2 2 2" xfId="12030"/>
    <cellStyle name="40% - akcent 3 3 2 4 2 2 2 3" xfId="12031"/>
    <cellStyle name="40% - akcent 3 3 2 4 2 2 3" xfId="12032"/>
    <cellStyle name="40% - akcent 3 3 2 4 2 2 4" xfId="12033"/>
    <cellStyle name="40% - akcent 3 3 2 4 2 3" xfId="12034"/>
    <cellStyle name="40% - akcent 3 3 2 4 2 3 2" xfId="12035"/>
    <cellStyle name="40% - akcent 3 3 2 4 2 3 2 2" xfId="12036"/>
    <cellStyle name="40% - akcent 3 3 2 4 2 3 2 3" xfId="12037"/>
    <cellStyle name="40% - akcent 3 3 2 4 2 3 3" xfId="12038"/>
    <cellStyle name="40% - akcent 3 3 2 4 2 3 4" xfId="12039"/>
    <cellStyle name="40% - akcent 3 3 2 4 2 4" xfId="12040"/>
    <cellStyle name="40% - akcent 3 3 2 4 2 4 2" xfId="12041"/>
    <cellStyle name="40% - akcent 3 3 2 4 2 4 2 2" xfId="12042"/>
    <cellStyle name="40% - akcent 3 3 2 4 2 4 2 3" xfId="12043"/>
    <cellStyle name="40% - akcent 3 3 2 4 2 4 3" xfId="12044"/>
    <cellStyle name="40% - akcent 3 3 2 4 2 4 4" xfId="12045"/>
    <cellStyle name="40% - akcent 3 3 2 4 2 5" xfId="12046"/>
    <cellStyle name="40% - akcent 3 3 2 4 2 5 2" xfId="12047"/>
    <cellStyle name="40% - akcent 3 3 2 4 2 5 3" xfId="12048"/>
    <cellStyle name="40% - akcent 3 3 2 4 2 6" xfId="12049"/>
    <cellStyle name="40% - akcent 3 3 2 4 2 7" xfId="12050"/>
    <cellStyle name="40% - akcent 3 3 2 4 3" xfId="12051"/>
    <cellStyle name="40% - akcent 3 3 2 4 3 2" xfId="12052"/>
    <cellStyle name="40% - akcent 3 3 2 4 3 2 2" xfId="12053"/>
    <cellStyle name="40% - akcent 3 3 2 4 3 2 2 2" xfId="12054"/>
    <cellStyle name="40% - akcent 3 3 2 4 3 2 2 3" xfId="12055"/>
    <cellStyle name="40% - akcent 3 3 2 4 3 2 3" xfId="12056"/>
    <cellStyle name="40% - akcent 3 3 2 4 3 2 4" xfId="12057"/>
    <cellStyle name="40% - akcent 3 3 2 4 3 3" xfId="12058"/>
    <cellStyle name="40% - akcent 3 3 2 4 3 3 2" xfId="12059"/>
    <cellStyle name="40% - akcent 3 3 2 4 3 3 2 2" xfId="12060"/>
    <cellStyle name="40% - akcent 3 3 2 4 3 3 2 3" xfId="12061"/>
    <cellStyle name="40% - akcent 3 3 2 4 3 3 3" xfId="12062"/>
    <cellStyle name="40% - akcent 3 3 2 4 3 3 4" xfId="12063"/>
    <cellStyle name="40% - akcent 3 3 2 4 3 4" xfId="12064"/>
    <cellStyle name="40% - akcent 3 3 2 4 3 4 2" xfId="12065"/>
    <cellStyle name="40% - akcent 3 3 2 4 3 4 2 2" xfId="12066"/>
    <cellStyle name="40% - akcent 3 3 2 4 3 4 2 3" xfId="12067"/>
    <cellStyle name="40% - akcent 3 3 2 4 3 4 3" xfId="12068"/>
    <cellStyle name="40% - akcent 3 3 2 4 3 4 4" xfId="12069"/>
    <cellStyle name="40% - akcent 3 3 2 4 3 5" xfId="12070"/>
    <cellStyle name="40% - akcent 3 3 2 4 3 5 2" xfId="12071"/>
    <cellStyle name="40% - akcent 3 3 2 4 3 5 3" xfId="12072"/>
    <cellStyle name="40% - akcent 3 3 2 4 3 6" xfId="12073"/>
    <cellStyle name="40% - akcent 3 3 2 4 3 7" xfId="12074"/>
    <cellStyle name="40% - akcent 3 3 2 4 4" xfId="12075"/>
    <cellStyle name="40% - akcent 3 3 2 4 4 2" xfId="12076"/>
    <cellStyle name="40% - akcent 3 3 2 4 4 2 2" xfId="12077"/>
    <cellStyle name="40% - akcent 3 3 2 4 4 2 3" xfId="12078"/>
    <cellStyle name="40% - akcent 3 3 2 4 4 3" xfId="12079"/>
    <cellStyle name="40% - akcent 3 3 2 4 4 4" xfId="12080"/>
    <cellStyle name="40% - akcent 3 3 2 4 5" xfId="12081"/>
    <cellStyle name="40% - akcent 3 3 2 4 5 2" xfId="12082"/>
    <cellStyle name="40% - akcent 3 3 2 4 5 2 2" xfId="12083"/>
    <cellStyle name="40% - akcent 3 3 2 4 5 2 3" xfId="12084"/>
    <cellStyle name="40% - akcent 3 3 2 4 5 3" xfId="12085"/>
    <cellStyle name="40% - akcent 3 3 2 4 5 4" xfId="12086"/>
    <cellStyle name="40% - akcent 3 3 2 4 6" xfId="12087"/>
    <cellStyle name="40% - akcent 3 3 2 4 6 2" xfId="12088"/>
    <cellStyle name="40% - akcent 3 3 2 4 6 2 2" xfId="12089"/>
    <cellStyle name="40% - akcent 3 3 2 4 6 2 3" xfId="12090"/>
    <cellStyle name="40% - akcent 3 3 2 4 6 3" xfId="12091"/>
    <cellStyle name="40% - akcent 3 3 2 4 6 4" xfId="12092"/>
    <cellStyle name="40% - akcent 3 3 2 4 7" xfId="12093"/>
    <cellStyle name="40% - akcent 3 3 2 4 7 2" xfId="12094"/>
    <cellStyle name="40% - akcent 3 3 2 4 7 3" xfId="12095"/>
    <cellStyle name="40% - akcent 3 3 2 4 8" xfId="12096"/>
    <cellStyle name="40% - akcent 3 3 2 4 9" xfId="12097"/>
    <cellStyle name="40% - akcent 3 3 2 5" xfId="12098"/>
    <cellStyle name="40% - akcent 3 3 2 5 2" xfId="12099"/>
    <cellStyle name="40% - akcent 3 3 2 5 2 2" xfId="12100"/>
    <cellStyle name="40% - akcent 3 3 2 5 2 2 2" xfId="12101"/>
    <cellStyle name="40% - akcent 3 3 2 5 2 2 3" xfId="12102"/>
    <cellStyle name="40% - akcent 3 3 2 5 2 3" xfId="12103"/>
    <cellStyle name="40% - akcent 3 3 2 5 2 4" xfId="12104"/>
    <cellStyle name="40% - akcent 3 3 2 5 3" xfId="12105"/>
    <cellStyle name="40% - akcent 3 3 2 5 3 2" xfId="12106"/>
    <cellStyle name="40% - akcent 3 3 2 5 3 2 2" xfId="12107"/>
    <cellStyle name="40% - akcent 3 3 2 5 3 2 3" xfId="12108"/>
    <cellStyle name="40% - akcent 3 3 2 5 3 3" xfId="12109"/>
    <cellStyle name="40% - akcent 3 3 2 5 3 4" xfId="12110"/>
    <cellStyle name="40% - akcent 3 3 2 5 4" xfId="12111"/>
    <cellStyle name="40% - akcent 3 3 2 5 4 2" xfId="12112"/>
    <cellStyle name="40% - akcent 3 3 2 5 4 2 2" xfId="12113"/>
    <cellStyle name="40% - akcent 3 3 2 5 4 2 3" xfId="12114"/>
    <cellStyle name="40% - akcent 3 3 2 5 4 3" xfId="12115"/>
    <cellStyle name="40% - akcent 3 3 2 5 4 4" xfId="12116"/>
    <cellStyle name="40% - akcent 3 3 2 5 5" xfId="12117"/>
    <cellStyle name="40% - akcent 3 3 2 5 5 2" xfId="12118"/>
    <cellStyle name="40% - akcent 3 3 2 5 5 3" xfId="12119"/>
    <cellStyle name="40% - akcent 3 3 2 5 6" xfId="12120"/>
    <cellStyle name="40% - akcent 3 3 2 5 7" xfId="12121"/>
    <cellStyle name="40% - akcent 3 3 2 6" xfId="12122"/>
    <cellStyle name="40% - akcent 3 3 2 6 2" xfId="12123"/>
    <cellStyle name="40% - akcent 3 3 2 6 2 2" xfId="12124"/>
    <cellStyle name="40% - akcent 3 3 2 6 2 2 2" xfId="12125"/>
    <cellStyle name="40% - akcent 3 3 2 6 2 2 3" xfId="12126"/>
    <cellStyle name="40% - akcent 3 3 2 6 2 3" xfId="12127"/>
    <cellStyle name="40% - akcent 3 3 2 6 2 4" xfId="12128"/>
    <cellStyle name="40% - akcent 3 3 2 6 3" xfId="12129"/>
    <cellStyle name="40% - akcent 3 3 2 6 3 2" xfId="12130"/>
    <cellStyle name="40% - akcent 3 3 2 6 3 2 2" xfId="12131"/>
    <cellStyle name="40% - akcent 3 3 2 6 3 2 3" xfId="12132"/>
    <cellStyle name="40% - akcent 3 3 2 6 3 3" xfId="12133"/>
    <cellStyle name="40% - akcent 3 3 2 6 3 4" xfId="12134"/>
    <cellStyle name="40% - akcent 3 3 2 6 4" xfId="12135"/>
    <cellStyle name="40% - akcent 3 3 2 6 4 2" xfId="12136"/>
    <cellStyle name="40% - akcent 3 3 2 6 4 2 2" xfId="12137"/>
    <cellStyle name="40% - akcent 3 3 2 6 4 2 3" xfId="12138"/>
    <cellStyle name="40% - akcent 3 3 2 6 4 3" xfId="12139"/>
    <cellStyle name="40% - akcent 3 3 2 6 4 4" xfId="12140"/>
    <cellStyle name="40% - akcent 3 3 2 6 5" xfId="12141"/>
    <cellStyle name="40% - akcent 3 3 2 6 5 2" xfId="12142"/>
    <cellStyle name="40% - akcent 3 3 2 6 5 3" xfId="12143"/>
    <cellStyle name="40% - akcent 3 3 2 6 6" xfId="12144"/>
    <cellStyle name="40% - akcent 3 3 2 6 7" xfId="12145"/>
    <cellStyle name="40% - akcent 3 3 2 7" xfId="12146"/>
    <cellStyle name="40% - akcent 3 3 2 7 2" xfId="12147"/>
    <cellStyle name="40% - akcent 3 3 2 7 2 2" xfId="12148"/>
    <cellStyle name="40% - akcent 3 3 2 7 2 2 2" xfId="12149"/>
    <cellStyle name="40% - akcent 3 3 2 7 2 2 3" xfId="12150"/>
    <cellStyle name="40% - akcent 3 3 2 7 2 3" xfId="12151"/>
    <cellStyle name="40% - akcent 3 3 2 7 2 4" xfId="12152"/>
    <cellStyle name="40% - akcent 3 3 2 7 3" xfId="12153"/>
    <cellStyle name="40% - akcent 3 3 2 7 3 2" xfId="12154"/>
    <cellStyle name="40% - akcent 3 3 2 7 3 3" xfId="12155"/>
    <cellStyle name="40% - akcent 3 3 2 7 4" xfId="12156"/>
    <cellStyle name="40% - akcent 3 3 2 7 5" xfId="12157"/>
    <cellStyle name="40% - akcent 3 3 2 8" xfId="12158"/>
    <cellStyle name="40% - akcent 3 3 2 8 2" xfId="12159"/>
    <cellStyle name="40% - akcent 3 3 2 8 2 2" xfId="12160"/>
    <cellStyle name="40% - akcent 3 3 2 8 2 3" xfId="12161"/>
    <cellStyle name="40% - akcent 3 3 2 8 3" xfId="12162"/>
    <cellStyle name="40% - akcent 3 3 2 8 4" xfId="12163"/>
    <cellStyle name="40% - akcent 3 3 2 9" xfId="12164"/>
    <cellStyle name="40% - akcent 3 3 2 9 2" xfId="12165"/>
    <cellStyle name="40% - akcent 3 3 2 9 2 2" xfId="12166"/>
    <cellStyle name="40% - akcent 3 3 2 9 2 3" xfId="12167"/>
    <cellStyle name="40% - akcent 3 3 2 9 3" xfId="12168"/>
    <cellStyle name="40% - akcent 3 3 2 9 4" xfId="12169"/>
    <cellStyle name="40% - akcent 3 3 3" xfId="12170"/>
    <cellStyle name="40% - akcent 3 3 3 10" xfId="12171"/>
    <cellStyle name="40% - akcent 3 3 3 11" xfId="12172"/>
    <cellStyle name="40% - akcent 3 3 3 2" xfId="12173"/>
    <cellStyle name="40% - akcent 3 3 3 2 10" xfId="12174"/>
    <cellStyle name="40% - akcent 3 3 3 2 2" xfId="12175"/>
    <cellStyle name="40% - akcent 3 3 3 2 2 2" xfId="12176"/>
    <cellStyle name="40% - akcent 3 3 3 2 2 2 2" xfId="12177"/>
    <cellStyle name="40% - akcent 3 3 3 2 2 2 2 2" xfId="12178"/>
    <cellStyle name="40% - akcent 3 3 3 2 2 2 2 3" xfId="12179"/>
    <cellStyle name="40% - akcent 3 3 3 2 2 2 3" xfId="12180"/>
    <cellStyle name="40% - akcent 3 3 3 2 2 2 4" xfId="12181"/>
    <cellStyle name="40% - akcent 3 3 3 2 2 3" xfId="12182"/>
    <cellStyle name="40% - akcent 3 3 3 2 2 3 2" xfId="12183"/>
    <cellStyle name="40% - akcent 3 3 3 2 2 3 2 2" xfId="12184"/>
    <cellStyle name="40% - akcent 3 3 3 2 2 3 2 3" xfId="12185"/>
    <cellStyle name="40% - akcent 3 3 3 2 2 3 3" xfId="12186"/>
    <cellStyle name="40% - akcent 3 3 3 2 2 3 4" xfId="12187"/>
    <cellStyle name="40% - akcent 3 3 3 2 2 4" xfId="12188"/>
    <cellStyle name="40% - akcent 3 3 3 2 2 4 2" xfId="12189"/>
    <cellStyle name="40% - akcent 3 3 3 2 2 4 2 2" xfId="12190"/>
    <cellStyle name="40% - akcent 3 3 3 2 2 4 2 3" xfId="12191"/>
    <cellStyle name="40% - akcent 3 3 3 2 2 4 3" xfId="12192"/>
    <cellStyle name="40% - akcent 3 3 3 2 2 4 4" xfId="12193"/>
    <cellStyle name="40% - akcent 3 3 3 2 2 5" xfId="12194"/>
    <cellStyle name="40% - akcent 3 3 3 2 2 5 2" xfId="12195"/>
    <cellStyle name="40% - akcent 3 3 3 2 2 5 3" xfId="12196"/>
    <cellStyle name="40% - akcent 3 3 3 2 2 6" xfId="12197"/>
    <cellStyle name="40% - akcent 3 3 3 2 2 7" xfId="12198"/>
    <cellStyle name="40% - akcent 3 3 3 2 3" xfId="12199"/>
    <cellStyle name="40% - akcent 3 3 3 2 3 2" xfId="12200"/>
    <cellStyle name="40% - akcent 3 3 3 2 3 2 2" xfId="12201"/>
    <cellStyle name="40% - akcent 3 3 3 2 3 2 2 2" xfId="12202"/>
    <cellStyle name="40% - akcent 3 3 3 2 3 2 2 3" xfId="12203"/>
    <cellStyle name="40% - akcent 3 3 3 2 3 2 3" xfId="12204"/>
    <cellStyle name="40% - akcent 3 3 3 2 3 2 4" xfId="12205"/>
    <cellStyle name="40% - akcent 3 3 3 2 3 3" xfId="12206"/>
    <cellStyle name="40% - akcent 3 3 3 2 3 3 2" xfId="12207"/>
    <cellStyle name="40% - akcent 3 3 3 2 3 3 2 2" xfId="12208"/>
    <cellStyle name="40% - akcent 3 3 3 2 3 3 2 3" xfId="12209"/>
    <cellStyle name="40% - akcent 3 3 3 2 3 3 3" xfId="12210"/>
    <cellStyle name="40% - akcent 3 3 3 2 3 3 4" xfId="12211"/>
    <cellStyle name="40% - akcent 3 3 3 2 3 4" xfId="12212"/>
    <cellStyle name="40% - akcent 3 3 3 2 3 4 2" xfId="12213"/>
    <cellStyle name="40% - akcent 3 3 3 2 3 4 2 2" xfId="12214"/>
    <cellStyle name="40% - akcent 3 3 3 2 3 4 2 3" xfId="12215"/>
    <cellStyle name="40% - akcent 3 3 3 2 3 4 3" xfId="12216"/>
    <cellStyle name="40% - akcent 3 3 3 2 3 4 4" xfId="12217"/>
    <cellStyle name="40% - akcent 3 3 3 2 3 5" xfId="12218"/>
    <cellStyle name="40% - akcent 3 3 3 2 3 5 2" xfId="12219"/>
    <cellStyle name="40% - akcent 3 3 3 2 3 5 3" xfId="12220"/>
    <cellStyle name="40% - akcent 3 3 3 2 3 6" xfId="12221"/>
    <cellStyle name="40% - akcent 3 3 3 2 3 7" xfId="12222"/>
    <cellStyle name="40% - akcent 3 3 3 2 4" xfId="12223"/>
    <cellStyle name="40% - akcent 3 3 3 2 4 2" xfId="12224"/>
    <cellStyle name="40% - akcent 3 3 3 2 4 2 2" xfId="12225"/>
    <cellStyle name="40% - akcent 3 3 3 2 4 2 2 2" xfId="12226"/>
    <cellStyle name="40% - akcent 3 3 3 2 4 2 2 3" xfId="12227"/>
    <cellStyle name="40% - akcent 3 3 3 2 4 2 3" xfId="12228"/>
    <cellStyle name="40% - akcent 3 3 3 2 4 2 4" xfId="12229"/>
    <cellStyle name="40% - akcent 3 3 3 2 4 3" xfId="12230"/>
    <cellStyle name="40% - akcent 3 3 3 2 4 3 2" xfId="12231"/>
    <cellStyle name="40% - akcent 3 3 3 2 4 3 3" xfId="12232"/>
    <cellStyle name="40% - akcent 3 3 3 2 4 4" xfId="12233"/>
    <cellStyle name="40% - akcent 3 3 3 2 4 5" xfId="12234"/>
    <cellStyle name="40% - akcent 3 3 3 2 5" xfId="12235"/>
    <cellStyle name="40% - akcent 3 3 3 2 5 2" xfId="12236"/>
    <cellStyle name="40% - akcent 3 3 3 2 5 2 2" xfId="12237"/>
    <cellStyle name="40% - akcent 3 3 3 2 5 2 3" xfId="12238"/>
    <cellStyle name="40% - akcent 3 3 3 2 5 3" xfId="12239"/>
    <cellStyle name="40% - akcent 3 3 3 2 5 4" xfId="12240"/>
    <cellStyle name="40% - akcent 3 3 3 2 6" xfId="12241"/>
    <cellStyle name="40% - akcent 3 3 3 2 6 2" xfId="12242"/>
    <cellStyle name="40% - akcent 3 3 3 2 6 2 2" xfId="12243"/>
    <cellStyle name="40% - akcent 3 3 3 2 6 2 3" xfId="12244"/>
    <cellStyle name="40% - akcent 3 3 3 2 6 3" xfId="12245"/>
    <cellStyle name="40% - akcent 3 3 3 2 6 4" xfId="12246"/>
    <cellStyle name="40% - akcent 3 3 3 2 7" xfId="12247"/>
    <cellStyle name="40% - akcent 3 3 3 2 7 2" xfId="12248"/>
    <cellStyle name="40% - akcent 3 3 3 2 7 2 2" xfId="12249"/>
    <cellStyle name="40% - akcent 3 3 3 2 7 2 3" xfId="12250"/>
    <cellStyle name="40% - akcent 3 3 3 2 7 3" xfId="12251"/>
    <cellStyle name="40% - akcent 3 3 3 2 7 4" xfId="12252"/>
    <cellStyle name="40% - akcent 3 3 3 2 8" xfId="12253"/>
    <cellStyle name="40% - akcent 3 3 3 2 8 2" xfId="12254"/>
    <cellStyle name="40% - akcent 3 3 3 2 8 3" xfId="12255"/>
    <cellStyle name="40% - akcent 3 3 3 2 9" xfId="12256"/>
    <cellStyle name="40% - akcent 3 3 3 3" xfId="12257"/>
    <cellStyle name="40% - akcent 3 3 3 3 2" xfId="12258"/>
    <cellStyle name="40% - akcent 3 3 3 3 2 2" xfId="12259"/>
    <cellStyle name="40% - akcent 3 3 3 3 2 2 2" xfId="12260"/>
    <cellStyle name="40% - akcent 3 3 3 3 2 2 3" xfId="12261"/>
    <cellStyle name="40% - akcent 3 3 3 3 2 3" xfId="12262"/>
    <cellStyle name="40% - akcent 3 3 3 3 2 4" xfId="12263"/>
    <cellStyle name="40% - akcent 3 3 3 3 3" xfId="12264"/>
    <cellStyle name="40% - akcent 3 3 3 3 3 2" xfId="12265"/>
    <cellStyle name="40% - akcent 3 3 3 3 3 2 2" xfId="12266"/>
    <cellStyle name="40% - akcent 3 3 3 3 3 2 3" xfId="12267"/>
    <cellStyle name="40% - akcent 3 3 3 3 3 3" xfId="12268"/>
    <cellStyle name="40% - akcent 3 3 3 3 3 4" xfId="12269"/>
    <cellStyle name="40% - akcent 3 3 3 3 4" xfId="12270"/>
    <cellStyle name="40% - akcent 3 3 3 3 4 2" xfId="12271"/>
    <cellStyle name="40% - akcent 3 3 3 3 4 2 2" xfId="12272"/>
    <cellStyle name="40% - akcent 3 3 3 3 4 2 3" xfId="12273"/>
    <cellStyle name="40% - akcent 3 3 3 3 4 3" xfId="12274"/>
    <cellStyle name="40% - akcent 3 3 3 3 4 4" xfId="12275"/>
    <cellStyle name="40% - akcent 3 3 3 3 5" xfId="12276"/>
    <cellStyle name="40% - akcent 3 3 3 3 5 2" xfId="12277"/>
    <cellStyle name="40% - akcent 3 3 3 3 5 3" xfId="12278"/>
    <cellStyle name="40% - akcent 3 3 3 3 6" xfId="12279"/>
    <cellStyle name="40% - akcent 3 3 3 3 7" xfId="12280"/>
    <cellStyle name="40% - akcent 3 3 3 4" xfId="12281"/>
    <cellStyle name="40% - akcent 3 3 3 4 2" xfId="12282"/>
    <cellStyle name="40% - akcent 3 3 3 4 2 2" xfId="12283"/>
    <cellStyle name="40% - akcent 3 3 3 4 2 2 2" xfId="12284"/>
    <cellStyle name="40% - akcent 3 3 3 4 2 2 3" xfId="12285"/>
    <cellStyle name="40% - akcent 3 3 3 4 2 3" xfId="12286"/>
    <cellStyle name="40% - akcent 3 3 3 4 2 4" xfId="12287"/>
    <cellStyle name="40% - akcent 3 3 3 4 3" xfId="12288"/>
    <cellStyle name="40% - akcent 3 3 3 4 3 2" xfId="12289"/>
    <cellStyle name="40% - akcent 3 3 3 4 3 2 2" xfId="12290"/>
    <cellStyle name="40% - akcent 3 3 3 4 3 2 3" xfId="12291"/>
    <cellStyle name="40% - akcent 3 3 3 4 3 3" xfId="12292"/>
    <cellStyle name="40% - akcent 3 3 3 4 3 4" xfId="12293"/>
    <cellStyle name="40% - akcent 3 3 3 4 4" xfId="12294"/>
    <cellStyle name="40% - akcent 3 3 3 4 4 2" xfId="12295"/>
    <cellStyle name="40% - akcent 3 3 3 4 4 2 2" xfId="12296"/>
    <cellStyle name="40% - akcent 3 3 3 4 4 2 3" xfId="12297"/>
    <cellStyle name="40% - akcent 3 3 3 4 4 3" xfId="12298"/>
    <cellStyle name="40% - akcent 3 3 3 4 4 4" xfId="12299"/>
    <cellStyle name="40% - akcent 3 3 3 4 5" xfId="12300"/>
    <cellStyle name="40% - akcent 3 3 3 4 5 2" xfId="12301"/>
    <cellStyle name="40% - akcent 3 3 3 4 5 3" xfId="12302"/>
    <cellStyle name="40% - akcent 3 3 3 4 6" xfId="12303"/>
    <cellStyle name="40% - akcent 3 3 3 4 7" xfId="12304"/>
    <cellStyle name="40% - akcent 3 3 3 5" xfId="12305"/>
    <cellStyle name="40% - akcent 3 3 3 5 2" xfId="12306"/>
    <cellStyle name="40% - akcent 3 3 3 5 2 2" xfId="12307"/>
    <cellStyle name="40% - akcent 3 3 3 5 2 2 2" xfId="12308"/>
    <cellStyle name="40% - akcent 3 3 3 5 2 2 3" xfId="12309"/>
    <cellStyle name="40% - akcent 3 3 3 5 2 3" xfId="12310"/>
    <cellStyle name="40% - akcent 3 3 3 5 2 4" xfId="12311"/>
    <cellStyle name="40% - akcent 3 3 3 5 3" xfId="12312"/>
    <cellStyle name="40% - akcent 3 3 3 5 3 2" xfId="12313"/>
    <cellStyle name="40% - akcent 3 3 3 5 3 3" xfId="12314"/>
    <cellStyle name="40% - akcent 3 3 3 5 4" xfId="12315"/>
    <cellStyle name="40% - akcent 3 3 3 5 5" xfId="12316"/>
    <cellStyle name="40% - akcent 3 3 3 6" xfId="12317"/>
    <cellStyle name="40% - akcent 3 3 3 6 2" xfId="12318"/>
    <cellStyle name="40% - akcent 3 3 3 6 2 2" xfId="12319"/>
    <cellStyle name="40% - akcent 3 3 3 6 2 3" xfId="12320"/>
    <cellStyle name="40% - akcent 3 3 3 6 3" xfId="12321"/>
    <cellStyle name="40% - akcent 3 3 3 6 4" xfId="12322"/>
    <cellStyle name="40% - akcent 3 3 3 7" xfId="12323"/>
    <cellStyle name="40% - akcent 3 3 3 7 2" xfId="12324"/>
    <cellStyle name="40% - akcent 3 3 3 7 2 2" xfId="12325"/>
    <cellStyle name="40% - akcent 3 3 3 7 2 3" xfId="12326"/>
    <cellStyle name="40% - akcent 3 3 3 7 3" xfId="12327"/>
    <cellStyle name="40% - akcent 3 3 3 7 4" xfId="12328"/>
    <cellStyle name="40% - akcent 3 3 3 8" xfId="12329"/>
    <cellStyle name="40% - akcent 3 3 3 8 2" xfId="12330"/>
    <cellStyle name="40% - akcent 3 3 3 8 2 2" xfId="12331"/>
    <cellStyle name="40% - akcent 3 3 3 8 2 3" xfId="12332"/>
    <cellStyle name="40% - akcent 3 3 3 8 3" xfId="12333"/>
    <cellStyle name="40% - akcent 3 3 3 8 4" xfId="12334"/>
    <cellStyle name="40% - akcent 3 3 3 9" xfId="12335"/>
    <cellStyle name="40% - akcent 3 3 3 9 2" xfId="12336"/>
    <cellStyle name="40% - akcent 3 3 3 9 3" xfId="12337"/>
    <cellStyle name="40% - akcent 3 3 4" xfId="12338"/>
    <cellStyle name="40% - akcent 3 3 4 10" xfId="12339"/>
    <cellStyle name="40% - akcent 3 3 4 2" xfId="12340"/>
    <cellStyle name="40% - akcent 3 3 4 2 2" xfId="12341"/>
    <cellStyle name="40% - akcent 3 3 4 2 2 2" xfId="12342"/>
    <cellStyle name="40% - akcent 3 3 4 2 2 2 2" xfId="12343"/>
    <cellStyle name="40% - akcent 3 3 4 2 2 2 3" xfId="12344"/>
    <cellStyle name="40% - akcent 3 3 4 2 2 3" xfId="12345"/>
    <cellStyle name="40% - akcent 3 3 4 2 2 4" xfId="12346"/>
    <cellStyle name="40% - akcent 3 3 4 2 3" xfId="12347"/>
    <cellStyle name="40% - akcent 3 3 4 2 3 2" xfId="12348"/>
    <cellStyle name="40% - akcent 3 3 4 2 3 2 2" xfId="12349"/>
    <cellStyle name="40% - akcent 3 3 4 2 3 2 3" xfId="12350"/>
    <cellStyle name="40% - akcent 3 3 4 2 3 3" xfId="12351"/>
    <cellStyle name="40% - akcent 3 3 4 2 3 4" xfId="12352"/>
    <cellStyle name="40% - akcent 3 3 4 2 4" xfId="12353"/>
    <cellStyle name="40% - akcent 3 3 4 2 4 2" xfId="12354"/>
    <cellStyle name="40% - akcent 3 3 4 2 4 2 2" xfId="12355"/>
    <cellStyle name="40% - akcent 3 3 4 2 4 2 3" xfId="12356"/>
    <cellStyle name="40% - akcent 3 3 4 2 4 3" xfId="12357"/>
    <cellStyle name="40% - akcent 3 3 4 2 4 4" xfId="12358"/>
    <cellStyle name="40% - akcent 3 3 4 2 5" xfId="12359"/>
    <cellStyle name="40% - akcent 3 3 4 2 5 2" xfId="12360"/>
    <cellStyle name="40% - akcent 3 3 4 2 5 3" xfId="12361"/>
    <cellStyle name="40% - akcent 3 3 4 2 6" xfId="12362"/>
    <cellStyle name="40% - akcent 3 3 4 2 7" xfId="12363"/>
    <cellStyle name="40% - akcent 3 3 4 3" xfId="12364"/>
    <cellStyle name="40% - akcent 3 3 4 3 2" xfId="12365"/>
    <cellStyle name="40% - akcent 3 3 4 3 2 2" xfId="12366"/>
    <cellStyle name="40% - akcent 3 3 4 3 2 2 2" xfId="12367"/>
    <cellStyle name="40% - akcent 3 3 4 3 2 2 3" xfId="12368"/>
    <cellStyle name="40% - akcent 3 3 4 3 2 3" xfId="12369"/>
    <cellStyle name="40% - akcent 3 3 4 3 2 4" xfId="12370"/>
    <cellStyle name="40% - akcent 3 3 4 3 3" xfId="12371"/>
    <cellStyle name="40% - akcent 3 3 4 3 3 2" xfId="12372"/>
    <cellStyle name="40% - akcent 3 3 4 3 3 2 2" xfId="12373"/>
    <cellStyle name="40% - akcent 3 3 4 3 3 2 3" xfId="12374"/>
    <cellStyle name="40% - akcent 3 3 4 3 3 3" xfId="12375"/>
    <cellStyle name="40% - akcent 3 3 4 3 3 4" xfId="12376"/>
    <cellStyle name="40% - akcent 3 3 4 3 4" xfId="12377"/>
    <cellStyle name="40% - akcent 3 3 4 3 4 2" xfId="12378"/>
    <cellStyle name="40% - akcent 3 3 4 3 4 2 2" xfId="12379"/>
    <cellStyle name="40% - akcent 3 3 4 3 4 2 3" xfId="12380"/>
    <cellStyle name="40% - akcent 3 3 4 3 4 3" xfId="12381"/>
    <cellStyle name="40% - akcent 3 3 4 3 4 4" xfId="12382"/>
    <cellStyle name="40% - akcent 3 3 4 3 5" xfId="12383"/>
    <cellStyle name="40% - akcent 3 3 4 3 5 2" xfId="12384"/>
    <cellStyle name="40% - akcent 3 3 4 3 5 3" xfId="12385"/>
    <cellStyle name="40% - akcent 3 3 4 3 6" xfId="12386"/>
    <cellStyle name="40% - akcent 3 3 4 3 7" xfId="12387"/>
    <cellStyle name="40% - akcent 3 3 4 4" xfId="12388"/>
    <cellStyle name="40% - akcent 3 3 4 4 2" xfId="12389"/>
    <cellStyle name="40% - akcent 3 3 4 4 2 2" xfId="12390"/>
    <cellStyle name="40% - akcent 3 3 4 4 2 2 2" xfId="12391"/>
    <cellStyle name="40% - akcent 3 3 4 4 2 2 3" xfId="12392"/>
    <cellStyle name="40% - akcent 3 3 4 4 2 3" xfId="12393"/>
    <cellStyle name="40% - akcent 3 3 4 4 2 4" xfId="12394"/>
    <cellStyle name="40% - akcent 3 3 4 4 3" xfId="12395"/>
    <cellStyle name="40% - akcent 3 3 4 4 3 2" xfId="12396"/>
    <cellStyle name="40% - akcent 3 3 4 4 3 3" xfId="12397"/>
    <cellStyle name="40% - akcent 3 3 4 4 4" xfId="12398"/>
    <cellStyle name="40% - akcent 3 3 4 4 5" xfId="12399"/>
    <cellStyle name="40% - akcent 3 3 4 5" xfId="12400"/>
    <cellStyle name="40% - akcent 3 3 4 5 2" xfId="12401"/>
    <cellStyle name="40% - akcent 3 3 4 5 2 2" xfId="12402"/>
    <cellStyle name="40% - akcent 3 3 4 5 2 3" xfId="12403"/>
    <cellStyle name="40% - akcent 3 3 4 5 3" xfId="12404"/>
    <cellStyle name="40% - akcent 3 3 4 5 4" xfId="12405"/>
    <cellStyle name="40% - akcent 3 3 4 6" xfId="12406"/>
    <cellStyle name="40% - akcent 3 3 4 6 2" xfId="12407"/>
    <cellStyle name="40% - akcent 3 3 4 6 2 2" xfId="12408"/>
    <cellStyle name="40% - akcent 3 3 4 6 2 3" xfId="12409"/>
    <cellStyle name="40% - akcent 3 3 4 6 3" xfId="12410"/>
    <cellStyle name="40% - akcent 3 3 4 6 4" xfId="12411"/>
    <cellStyle name="40% - akcent 3 3 4 7" xfId="12412"/>
    <cellStyle name="40% - akcent 3 3 4 7 2" xfId="12413"/>
    <cellStyle name="40% - akcent 3 3 4 7 2 2" xfId="12414"/>
    <cellStyle name="40% - akcent 3 3 4 7 2 3" xfId="12415"/>
    <cellStyle name="40% - akcent 3 3 4 7 3" xfId="12416"/>
    <cellStyle name="40% - akcent 3 3 4 7 4" xfId="12417"/>
    <cellStyle name="40% - akcent 3 3 4 8" xfId="12418"/>
    <cellStyle name="40% - akcent 3 3 4 8 2" xfId="12419"/>
    <cellStyle name="40% - akcent 3 3 4 8 3" xfId="12420"/>
    <cellStyle name="40% - akcent 3 3 4 9" xfId="12421"/>
    <cellStyle name="40% - akcent 3 3 5" xfId="12422"/>
    <cellStyle name="40% - akcent 3 3 5 2" xfId="12423"/>
    <cellStyle name="40% - akcent 3 3 5 2 2" xfId="12424"/>
    <cellStyle name="40% - akcent 3 3 5 2 2 2" xfId="12425"/>
    <cellStyle name="40% - akcent 3 3 5 2 2 2 2" xfId="12426"/>
    <cellStyle name="40% - akcent 3 3 5 2 2 2 3" xfId="12427"/>
    <cellStyle name="40% - akcent 3 3 5 2 2 3" xfId="12428"/>
    <cellStyle name="40% - akcent 3 3 5 2 2 4" xfId="12429"/>
    <cellStyle name="40% - akcent 3 3 5 2 3" xfId="12430"/>
    <cellStyle name="40% - akcent 3 3 5 2 3 2" xfId="12431"/>
    <cellStyle name="40% - akcent 3 3 5 2 3 2 2" xfId="12432"/>
    <cellStyle name="40% - akcent 3 3 5 2 3 2 3" xfId="12433"/>
    <cellStyle name="40% - akcent 3 3 5 2 3 3" xfId="12434"/>
    <cellStyle name="40% - akcent 3 3 5 2 3 4" xfId="12435"/>
    <cellStyle name="40% - akcent 3 3 5 2 4" xfId="12436"/>
    <cellStyle name="40% - akcent 3 3 5 2 4 2" xfId="12437"/>
    <cellStyle name="40% - akcent 3 3 5 2 4 2 2" xfId="12438"/>
    <cellStyle name="40% - akcent 3 3 5 2 4 2 3" xfId="12439"/>
    <cellStyle name="40% - akcent 3 3 5 2 4 3" xfId="12440"/>
    <cellStyle name="40% - akcent 3 3 5 2 4 4" xfId="12441"/>
    <cellStyle name="40% - akcent 3 3 5 2 5" xfId="12442"/>
    <cellStyle name="40% - akcent 3 3 5 2 5 2" xfId="12443"/>
    <cellStyle name="40% - akcent 3 3 5 2 5 3" xfId="12444"/>
    <cellStyle name="40% - akcent 3 3 5 2 6" xfId="12445"/>
    <cellStyle name="40% - akcent 3 3 5 2 7" xfId="12446"/>
    <cellStyle name="40% - akcent 3 3 5 3" xfId="12447"/>
    <cellStyle name="40% - akcent 3 3 5 3 2" xfId="12448"/>
    <cellStyle name="40% - akcent 3 3 5 3 2 2" xfId="12449"/>
    <cellStyle name="40% - akcent 3 3 5 3 2 2 2" xfId="12450"/>
    <cellStyle name="40% - akcent 3 3 5 3 2 2 3" xfId="12451"/>
    <cellStyle name="40% - akcent 3 3 5 3 2 3" xfId="12452"/>
    <cellStyle name="40% - akcent 3 3 5 3 2 4" xfId="12453"/>
    <cellStyle name="40% - akcent 3 3 5 3 3" xfId="12454"/>
    <cellStyle name="40% - akcent 3 3 5 3 3 2" xfId="12455"/>
    <cellStyle name="40% - akcent 3 3 5 3 3 2 2" xfId="12456"/>
    <cellStyle name="40% - akcent 3 3 5 3 3 2 3" xfId="12457"/>
    <cellStyle name="40% - akcent 3 3 5 3 3 3" xfId="12458"/>
    <cellStyle name="40% - akcent 3 3 5 3 3 4" xfId="12459"/>
    <cellStyle name="40% - akcent 3 3 5 3 4" xfId="12460"/>
    <cellStyle name="40% - akcent 3 3 5 3 4 2" xfId="12461"/>
    <cellStyle name="40% - akcent 3 3 5 3 4 2 2" xfId="12462"/>
    <cellStyle name="40% - akcent 3 3 5 3 4 2 3" xfId="12463"/>
    <cellStyle name="40% - akcent 3 3 5 3 4 3" xfId="12464"/>
    <cellStyle name="40% - akcent 3 3 5 3 4 4" xfId="12465"/>
    <cellStyle name="40% - akcent 3 3 5 3 5" xfId="12466"/>
    <cellStyle name="40% - akcent 3 3 5 3 5 2" xfId="12467"/>
    <cellStyle name="40% - akcent 3 3 5 3 5 3" xfId="12468"/>
    <cellStyle name="40% - akcent 3 3 5 3 6" xfId="12469"/>
    <cellStyle name="40% - akcent 3 3 5 3 7" xfId="12470"/>
    <cellStyle name="40% - akcent 3 3 5 4" xfId="12471"/>
    <cellStyle name="40% - akcent 3 3 5 4 2" xfId="12472"/>
    <cellStyle name="40% - akcent 3 3 5 4 2 2" xfId="12473"/>
    <cellStyle name="40% - akcent 3 3 5 4 2 3" xfId="12474"/>
    <cellStyle name="40% - akcent 3 3 5 4 3" xfId="12475"/>
    <cellStyle name="40% - akcent 3 3 5 4 4" xfId="12476"/>
    <cellStyle name="40% - akcent 3 3 5 5" xfId="12477"/>
    <cellStyle name="40% - akcent 3 3 5 5 2" xfId="12478"/>
    <cellStyle name="40% - akcent 3 3 5 5 2 2" xfId="12479"/>
    <cellStyle name="40% - akcent 3 3 5 5 2 3" xfId="12480"/>
    <cellStyle name="40% - akcent 3 3 5 5 3" xfId="12481"/>
    <cellStyle name="40% - akcent 3 3 5 5 4" xfId="12482"/>
    <cellStyle name="40% - akcent 3 3 5 6" xfId="12483"/>
    <cellStyle name="40% - akcent 3 3 5 6 2" xfId="12484"/>
    <cellStyle name="40% - akcent 3 3 5 6 2 2" xfId="12485"/>
    <cellStyle name="40% - akcent 3 3 5 6 2 3" xfId="12486"/>
    <cellStyle name="40% - akcent 3 3 5 6 3" xfId="12487"/>
    <cellStyle name="40% - akcent 3 3 5 6 4" xfId="12488"/>
    <cellStyle name="40% - akcent 3 3 5 7" xfId="12489"/>
    <cellStyle name="40% - akcent 3 3 5 7 2" xfId="12490"/>
    <cellStyle name="40% - akcent 3 3 5 7 3" xfId="12491"/>
    <cellStyle name="40% - akcent 3 3 5 8" xfId="12492"/>
    <cellStyle name="40% - akcent 3 3 5 9" xfId="12493"/>
    <cellStyle name="40% - akcent 3 3 6" xfId="12494"/>
    <cellStyle name="40% - akcent 3 3 6 2" xfId="12495"/>
    <cellStyle name="40% - akcent 3 3 6 2 2" xfId="12496"/>
    <cellStyle name="40% - akcent 3 3 6 2 2 2" xfId="12497"/>
    <cellStyle name="40% - akcent 3 3 6 2 2 2 2" xfId="12498"/>
    <cellStyle name="40% - akcent 3 3 6 2 2 2 3" xfId="12499"/>
    <cellStyle name="40% - akcent 3 3 6 2 2 3" xfId="12500"/>
    <cellStyle name="40% - akcent 3 3 6 2 2 4" xfId="12501"/>
    <cellStyle name="40% - akcent 3 3 6 2 3" xfId="12502"/>
    <cellStyle name="40% - akcent 3 3 6 2 3 2" xfId="12503"/>
    <cellStyle name="40% - akcent 3 3 6 2 3 2 2" xfId="12504"/>
    <cellStyle name="40% - akcent 3 3 6 2 3 2 3" xfId="12505"/>
    <cellStyle name="40% - akcent 3 3 6 2 3 3" xfId="12506"/>
    <cellStyle name="40% - akcent 3 3 6 2 3 4" xfId="12507"/>
    <cellStyle name="40% - akcent 3 3 6 2 4" xfId="12508"/>
    <cellStyle name="40% - akcent 3 3 6 2 4 2" xfId="12509"/>
    <cellStyle name="40% - akcent 3 3 6 2 4 2 2" xfId="12510"/>
    <cellStyle name="40% - akcent 3 3 6 2 4 2 3" xfId="12511"/>
    <cellStyle name="40% - akcent 3 3 6 2 4 3" xfId="12512"/>
    <cellStyle name="40% - akcent 3 3 6 2 4 4" xfId="12513"/>
    <cellStyle name="40% - akcent 3 3 6 2 5" xfId="12514"/>
    <cellStyle name="40% - akcent 3 3 6 2 5 2" xfId="12515"/>
    <cellStyle name="40% - akcent 3 3 6 2 5 3" xfId="12516"/>
    <cellStyle name="40% - akcent 3 3 6 2 6" xfId="12517"/>
    <cellStyle name="40% - akcent 3 3 6 2 7" xfId="12518"/>
    <cellStyle name="40% - akcent 3 3 6 3" xfId="12519"/>
    <cellStyle name="40% - akcent 3 3 6 3 2" xfId="12520"/>
    <cellStyle name="40% - akcent 3 3 6 3 2 2" xfId="12521"/>
    <cellStyle name="40% - akcent 3 3 6 3 2 2 2" xfId="12522"/>
    <cellStyle name="40% - akcent 3 3 6 3 2 2 3" xfId="12523"/>
    <cellStyle name="40% - akcent 3 3 6 3 2 3" xfId="12524"/>
    <cellStyle name="40% - akcent 3 3 6 3 2 4" xfId="12525"/>
    <cellStyle name="40% - akcent 3 3 6 3 3" xfId="12526"/>
    <cellStyle name="40% - akcent 3 3 6 3 3 2" xfId="12527"/>
    <cellStyle name="40% - akcent 3 3 6 3 3 2 2" xfId="12528"/>
    <cellStyle name="40% - akcent 3 3 6 3 3 2 3" xfId="12529"/>
    <cellStyle name="40% - akcent 3 3 6 3 3 3" xfId="12530"/>
    <cellStyle name="40% - akcent 3 3 6 3 3 4" xfId="12531"/>
    <cellStyle name="40% - akcent 3 3 6 3 4" xfId="12532"/>
    <cellStyle name="40% - akcent 3 3 6 3 4 2" xfId="12533"/>
    <cellStyle name="40% - akcent 3 3 6 3 4 2 2" xfId="12534"/>
    <cellStyle name="40% - akcent 3 3 6 3 4 2 3" xfId="12535"/>
    <cellStyle name="40% - akcent 3 3 6 3 4 3" xfId="12536"/>
    <cellStyle name="40% - akcent 3 3 6 3 4 4" xfId="12537"/>
    <cellStyle name="40% - akcent 3 3 6 3 5" xfId="12538"/>
    <cellStyle name="40% - akcent 3 3 6 3 5 2" xfId="12539"/>
    <cellStyle name="40% - akcent 3 3 6 3 5 3" xfId="12540"/>
    <cellStyle name="40% - akcent 3 3 6 3 6" xfId="12541"/>
    <cellStyle name="40% - akcent 3 3 6 3 7" xfId="12542"/>
    <cellStyle name="40% - akcent 3 3 6 4" xfId="12543"/>
    <cellStyle name="40% - akcent 3 3 6 4 2" xfId="12544"/>
    <cellStyle name="40% - akcent 3 3 6 4 2 2" xfId="12545"/>
    <cellStyle name="40% - akcent 3 3 6 4 2 3" xfId="12546"/>
    <cellStyle name="40% - akcent 3 3 6 4 3" xfId="12547"/>
    <cellStyle name="40% - akcent 3 3 6 4 4" xfId="12548"/>
    <cellStyle name="40% - akcent 3 3 6 5" xfId="12549"/>
    <cellStyle name="40% - akcent 3 3 6 5 2" xfId="12550"/>
    <cellStyle name="40% - akcent 3 3 6 5 2 2" xfId="12551"/>
    <cellStyle name="40% - akcent 3 3 6 5 2 3" xfId="12552"/>
    <cellStyle name="40% - akcent 3 3 6 5 3" xfId="12553"/>
    <cellStyle name="40% - akcent 3 3 6 5 4" xfId="12554"/>
    <cellStyle name="40% - akcent 3 3 6 6" xfId="12555"/>
    <cellStyle name="40% - akcent 3 3 6 6 2" xfId="12556"/>
    <cellStyle name="40% - akcent 3 3 6 6 2 2" xfId="12557"/>
    <cellStyle name="40% - akcent 3 3 6 6 2 3" xfId="12558"/>
    <cellStyle name="40% - akcent 3 3 6 6 3" xfId="12559"/>
    <cellStyle name="40% - akcent 3 3 6 6 4" xfId="12560"/>
    <cellStyle name="40% - akcent 3 3 6 7" xfId="12561"/>
    <cellStyle name="40% - akcent 3 3 6 7 2" xfId="12562"/>
    <cellStyle name="40% - akcent 3 3 6 7 3" xfId="12563"/>
    <cellStyle name="40% - akcent 3 3 6 8" xfId="12564"/>
    <cellStyle name="40% - akcent 3 3 6 9" xfId="12565"/>
    <cellStyle name="40% - akcent 3 3 7" xfId="12566"/>
    <cellStyle name="40% - akcent 3 3 7 2" xfId="12567"/>
    <cellStyle name="40% - akcent 3 3 7 2 2" xfId="12568"/>
    <cellStyle name="40% - akcent 3 3 7 2 2 2" xfId="12569"/>
    <cellStyle name="40% - akcent 3 3 7 2 2 2 2" xfId="12570"/>
    <cellStyle name="40% - akcent 3 3 7 2 2 2 3" xfId="12571"/>
    <cellStyle name="40% - akcent 3 3 7 2 2 3" xfId="12572"/>
    <cellStyle name="40% - akcent 3 3 7 2 2 4" xfId="12573"/>
    <cellStyle name="40% - akcent 3 3 7 2 3" xfId="12574"/>
    <cellStyle name="40% - akcent 3 3 7 2 3 2" xfId="12575"/>
    <cellStyle name="40% - akcent 3 3 7 2 3 2 2" xfId="12576"/>
    <cellStyle name="40% - akcent 3 3 7 2 3 2 3" xfId="12577"/>
    <cellStyle name="40% - akcent 3 3 7 2 3 3" xfId="12578"/>
    <cellStyle name="40% - akcent 3 3 7 2 3 4" xfId="12579"/>
    <cellStyle name="40% - akcent 3 3 7 2 4" xfId="12580"/>
    <cellStyle name="40% - akcent 3 3 7 2 4 2" xfId="12581"/>
    <cellStyle name="40% - akcent 3 3 7 2 4 2 2" xfId="12582"/>
    <cellStyle name="40% - akcent 3 3 7 2 4 2 3" xfId="12583"/>
    <cellStyle name="40% - akcent 3 3 7 2 4 3" xfId="12584"/>
    <cellStyle name="40% - akcent 3 3 7 2 4 4" xfId="12585"/>
    <cellStyle name="40% - akcent 3 3 7 2 5" xfId="12586"/>
    <cellStyle name="40% - akcent 3 3 7 2 5 2" xfId="12587"/>
    <cellStyle name="40% - akcent 3 3 7 2 5 3" xfId="12588"/>
    <cellStyle name="40% - akcent 3 3 7 2 6" xfId="12589"/>
    <cellStyle name="40% - akcent 3 3 7 2 7" xfId="12590"/>
    <cellStyle name="40% - akcent 3 3 7 3" xfId="12591"/>
    <cellStyle name="40% - akcent 3 3 7 3 2" xfId="12592"/>
    <cellStyle name="40% - akcent 3 3 7 3 2 2" xfId="12593"/>
    <cellStyle name="40% - akcent 3 3 7 3 2 3" xfId="12594"/>
    <cellStyle name="40% - akcent 3 3 7 3 3" xfId="12595"/>
    <cellStyle name="40% - akcent 3 3 7 3 4" xfId="12596"/>
    <cellStyle name="40% - akcent 3 3 7 4" xfId="12597"/>
    <cellStyle name="40% - akcent 3 3 7 4 2" xfId="12598"/>
    <cellStyle name="40% - akcent 3 3 7 4 2 2" xfId="12599"/>
    <cellStyle name="40% - akcent 3 3 7 4 2 3" xfId="12600"/>
    <cellStyle name="40% - akcent 3 3 7 4 3" xfId="12601"/>
    <cellStyle name="40% - akcent 3 3 7 4 4" xfId="12602"/>
    <cellStyle name="40% - akcent 3 3 7 5" xfId="12603"/>
    <cellStyle name="40% - akcent 3 3 7 5 2" xfId="12604"/>
    <cellStyle name="40% - akcent 3 3 7 5 2 2" xfId="12605"/>
    <cellStyle name="40% - akcent 3 3 7 5 2 3" xfId="12606"/>
    <cellStyle name="40% - akcent 3 3 7 5 3" xfId="12607"/>
    <cellStyle name="40% - akcent 3 3 7 5 4" xfId="12608"/>
    <cellStyle name="40% - akcent 3 3 7 6" xfId="12609"/>
    <cellStyle name="40% - akcent 3 3 7 6 2" xfId="12610"/>
    <cellStyle name="40% - akcent 3 3 7 6 3" xfId="12611"/>
    <cellStyle name="40% - akcent 3 3 7 7" xfId="12612"/>
    <cellStyle name="40% - akcent 3 3 7 8" xfId="12613"/>
    <cellStyle name="40% - akcent 3 3 8" xfId="12614"/>
    <cellStyle name="40% - akcent 3 3 8 2" xfId="12615"/>
    <cellStyle name="40% - akcent 3 3 8 2 2" xfId="12616"/>
    <cellStyle name="40% - akcent 3 3 8 2 2 2" xfId="12617"/>
    <cellStyle name="40% - akcent 3 3 8 2 2 2 2" xfId="12618"/>
    <cellStyle name="40% - akcent 3 3 8 2 2 2 3" xfId="12619"/>
    <cellStyle name="40% - akcent 3 3 8 2 2 3" xfId="12620"/>
    <cellStyle name="40% - akcent 3 3 8 2 2 4" xfId="12621"/>
    <cellStyle name="40% - akcent 3 3 8 2 3" xfId="12622"/>
    <cellStyle name="40% - akcent 3 3 8 2 3 2" xfId="12623"/>
    <cellStyle name="40% - akcent 3 3 8 2 3 2 2" xfId="12624"/>
    <cellStyle name="40% - akcent 3 3 8 2 3 2 3" xfId="12625"/>
    <cellStyle name="40% - akcent 3 3 8 2 3 3" xfId="12626"/>
    <cellStyle name="40% - akcent 3 3 8 2 3 4" xfId="12627"/>
    <cellStyle name="40% - akcent 3 3 8 2 4" xfId="12628"/>
    <cellStyle name="40% - akcent 3 3 8 2 4 2" xfId="12629"/>
    <cellStyle name="40% - akcent 3 3 8 2 4 2 2" xfId="12630"/>
    <cellStyle name="40% - akcent 3 3 8 2 4 2 3" xfId="12631"/>
    <cellStyle name="40% - akcent 3 3 8 2 4 3" xfId="12632"/>
    <cellStyle name="40% - akcent 3 3 8 2 4 4" xfId="12633"/>
    <cellStyle name="40% - akcent 3 3 8 2 5" xfId="12634"/>
    <cellStyle name="40% - akcent 3 3 8 2 5 2" xfId="12635"/>
    <cellStyle name="40% - akcent 3 3 8 2 5 3" xfId="12636"/>
    <cellStyle name="40% - akcent 3 3 8 2 6" xfId="12637"/>
    <cellStyle name="40% - akcent 3 3 8 2 7" xfId="12638"/>
    <cellStyle name="40% - akcent 3 3 8 3" xfId="12639"/>
    <cellStyle name="40% - akcent 3 3 8 3 2" xfId="12640"/>
    <cellStyle name="40% - akcent 3 3 8 3 2 2" xfId="12641"/>
    <cellStyle name="40% - akcent 3 3 8 3 2 3" xfId="12642"/>
    <cellStyle name="40% - akcent 3 3 8 3 3" xfId="12643"/>
    <cellStyle name="40% - akcent 3 3 8 3 4" xfId="12644"/>
    <cellStyle name="40% - akcent 3 3 8 4" xfId="12645"/>
    <cellStyle name="40% - akcent 3 3 8 4 2" xfId="12646"/>
    <cellStyle name="40% - akcent 3 3 8 4 2 2" xfId="12647"/>
    <cellStyle name="40% - akcent 3 3 8 4 2 3" xfId="12648"/>
    <cellStyle name="40% - akcent 3 3 8 4 3" xfId="12649"/>
    <cellStyle name="40% - akcent 3 3 8 4 4" xfId="12650"/>
    <cellStyle name="40% - akcent 3 3 8 5" xfId="12651"/>
    <cellStyle name="40% - akcent 3 3 8 5 2" xfId="12652"/>
    <cellStyle name="40% - akcent 3 3 8 5 2 2" xfId="12653"/>
    <cellStyle name="40% - akcent 3 3 8 5 2 3" xfId="12654"/>
    <cellStyle name="40% - akcent 3 3 8 5 3" xfId="12655"/>
    <cellStyle name="40% - akcent 3 3 8 5 4" xfId="12656"/>
    <cellStyle name="40% - akcent 3 3 8 6" xfId="12657"/>
    <cellStyle name="40% - akcent 3 3 8 6 2" xfId="12658"/>
    <cellStyle name="40% - akcent 3 3 8 6 3" xfId="12659"/>
    <cellStyle name="40% - akcent 3 3 8 7" xfId="12660"/>
    <cellStyle name="40% - akcent 3 3 8 8" xfId="12661"/>
    <cellStyle name="40% - akcent 3 3 9" xfId="12662"/>
    <cellStyle name="40% - akcent 3 3 9 2" xfId="12663"/>
    <cellStyle name="40% - akcent 3 3 9 2 2" xfId="12664"/>
    <cellStyle name="40% - akcent 3 3 9 2 2 2" xfId="12665"/>
    <cellStyle name="40% - akcent 3 3 9 2 2 3" xfId="12666"/>
    <cellStyle name="40% - akcent 3 3 9 2 3" xfId="12667"/>
    <cellStyle name="40% - akcent 3 3 9 2 4" xfId="12668"/>
    <cellStyle name="40% - akcent 3 3 9 3" xfId="12669"/>
    <cellStyle name="40% - akcent 3 3 9 3 2" xfId="12670"/>
    <cellStyle name="40% - akcent 3 3 9 3 2 2" xfId="12671"/>
    <cellStyle name="40% - akcent 3 3 9 3 2 3" xfId="12672"/>
    <cellStyle name="40% - akcent 3 3 9 3 3" xfId="12673"/>
    <cellStyle name="40% - akcent 3 3 9 3 4" xfId="12674"/>
    <cellStyle name="40% - akcent 3 3 9 4" xfId="12675"/>
    <cellStyle name="40% - akcent 3 3 9 4 2" xfId="12676"/>
    <cellStyle name="40% - akcent 3 3 9 4 2 2" xfId="12677"/>
    <cellStyle name="40% - akcent 3 3 9 4 2 3" xfId="12678"/>
    <cellStyle name="40% - akcent 3 3 9 4 3" xfId="12679"/>
    <cellStyle name="40% - akcent 3 3 9 4 4" xfId="12680"/>
    <cellStyle name="40% - akcent 3 3 9 5" xfId="12681"/>
    <cellStyle name="40% - akcent 3 3 9 5 2" xfId="12682"/>
    <cellStyle name="40% - akcent 3 3 9 5 3" xfId="12683"/>
    <cellStyle name="40% - akcent 3 3 9 6" xfId="12684"/>
    <cellStyle name="40% - akcent 3 3 9 7" xfId="12685"/>
    <cellStyle name="40% - akcent 3 4" xfId="12686"/>
    <cellStyle name="40% - akcent 3 5" xfId="12687"/>
    <cellStyle name="40% - akcent 3 6" xfId="12688"/>
    <cellStyle name="40% - akcent 4 2" xfId="12689"/>
    <cellStyle name="40% - akcent 4 2 2" xfId="12690"/>
    <cellStyle name="40% - akcent 4 2 3" xfId="12691"/>
    <cellStyle name="40% - akcent 4 2 4" xfId="12692"/>
    <cellStyle name="40% - akcent 4 3" xfId="12693"/>
    <cellStyle name="40% - akcent 4 3 10" xfId="12694"/>
    <cellStyle name="40% - akcent 4 3 10 2" xfId="12695"/>
    <cellStyle name="40% - akcent 4 3 10 2 2" xfId="12696"/>
    <cellStyle name="40% - akcent 4 3 10 2 2 2" xfId="12697"/>
    <cellStyle name="40% - akcent 4 3 10 2 2 3" xfId="12698"/>
    <cellStyle name="40% - akcent 4 3 10 2 3" xfId="12699"/>
    <cellStyle name="40% - akcent 4 3 10 2 4" xfId="12700"/>
    <cellStyle name="40% - akcent 4 3 10 3" xfId="12701"/>
    <cellStyle name="40% - akcent 4 3 10 3 2" xfId="12702"/>
    <cellStyle name="40% - akcent 4 3 10 3 3" xfId="12703"/>
    <cellStyle name="40% - akcent 4 3 10 4" xfId="12704"/>
    <cellStyle name="40% - akcent 4 3 10 5" xfId="12705"/>
    <cellStyle name="40% - akcent 4 3 11" xfId="12706"/>
    <cellStyle name="40% - akcent 4 3 11 2" xfId="12707"/>
    <cellStyle name="40% - akcent 4 3 11 2 2" xfId="12708"/>
    <cellStyle name="40% - akcent 4 3 11 2 3" xfId="12709"/>
    <cellStyle name="40% - akcent 4 3 11 3" xfId="12710"/>
    <cellStyle name="40% - akcent 4 3 11 4" xfId="12711"/>
    <cellStyle name="40% - akcent 4 3 12" xfId="12712"/>
    <cellStyle name="40% - akcent 4 3 12 2" xfId="12713"/>
    <cellStyle name="40% - akcent 4 3 12 2 2" xfId="12714"/>
    <cellStyle name="40% - akcent 4 3 12 2 3" xfId="12715"/>
    <cellStyle name="40% - akcent 4 3 12 3" xfId="12716"/>
    <cellStyle name="40% - akcent 4 3 12 4" xfId="12717"/>
    <cellStyle name="40% - akcent 4 3 13" xfId="12718"/>
    <cellStyle name="40% - akcent 4 3 13 2" xfId="12719"/>
    <cellStyle name="40% - akcent 4 3 13 2 2" xfId="12720"/>
    <cellStyle name="40% - akcent 4 3 13 2 3" xfId="12721"/>
    <cellStyle name="40% - akcent 4 3 13 3" xfId="12722"/>
    <cellStyle name="40% - akcent 4 3 13 4" xfId="12723"/>
    <cellStyle name="40% - akcent 4 3 14" xfId="12724"/>
    <cellStyle name="40% - akcent 4 3 14 2" xfId="12725"/>
    <cellStyle name="40% - akcent 4 3 14 3" xfId="12726"/>
    <cellStyle name="40% - akcent 4 3 15" xfId="12727"/>
    <cellStyle name="40% - akcent 4 3 15 2" xfId="12728"/>
    <cellStyle name="40% - akcent 4 3 15 3" xfId="12729"/>
    <cellStyle name="40% - akcent 4 3 16" xfId="12730"/>
    <cellStyle name="40% - akcent 4 3 17" xfId="12731"/>
    <cellStyle name="40% - akcent 4 3 18" xfId="12732"/>
    <cellStyle name="40% - akcent 4 3 2" xfId="12733"/>
    <cellStyle name="40% - akcent 4 3 2 10" xfId="12734"/>
    <cellStyle name="40% - akcent 4 3 2 10 2" xfId="12735"/>
    <cellStyle name="40% - akcent 4 3 2 10 2 2" xfId="12736"/>
    <cellStyle name="40% - akcent 4 3 2 10 2 3" xfId="12737"/>
    <cellStyle name="40% - akcent 4 3 2 10 3" xfId="12738"/>
    <cellStyle name="40% - akcent 4 3 2 10 4" xfId="12739"/>
    <cellStyle name="40% - akcent 4 3 2 11" xfId="12740"/>
    <cellStyle name="40% - akcent 4 3 2 11 2" xfId="12741"/>
    <cellStyle name="40% - akcent 4 3 2 11 3" xfId="12742"/>
    <cellStyle name="40% - akcent 4 3 2 12" xfId="12743"/>
    <cellStyle name="40% - akcent 4 3 2 12 2" xfId="12744"/>
    <cellStyle name="40% - akcent 4 3 2 12 3" xfId="12745"/>
    <cellStyle name="40% - akcent 4 3 2 13" xfId="12746"/>
    <cellStyle name="40% - akcent 4 3 2 14" xfId="12747"/>
    <cellStyle name="40% - akcent 4 3 2 15" xfId="12748"/>
    <cellStyle name="40% - akcent 4 3 2 2" xfId="12749"/>
    <cellStyle name="40% - akcent 4 3 2 2 10" xfId="12750"/>
    <cellStyle name="40% - akcent 4 3 2 2 11" xfId="12751"/>
    <cellStyle name="40% - akcent 4 3 2 2 2" xfId="12752"/>
    <cellStyle name="40% - akcent 4 3 2 2 2 2" xfId="12753"/>
    <cellStyle name="40% - akcent 4 3 2 2 2 2 2" xfId="12754"/>
    <cellStyle name="40% - akcent 4 3 2 2 2 2 2 2" xfId="12755"/>
    <cellStyle name="40% - akcent 4 3 2 2 2 2 2 2 2" xfId="12756"/>
    <cellStyle name="40% - akcent 4 3 2 2 2 2 2 2 3" xfId="12757"/>
    <cellStyle name="40% - akcent 4 3 2 2 2 2 2 3" xfId="12758"/>
    <cellStyle name="40% - akcent 4 3 2 2 2 2 2 4" xfId="12759"/>
    <cellStyle name="40% - akcent 4 3 2 2 2 2 3" xfId="12760"/>
    <cellStyle name="40% - akcent 4 3 2 2 2 2 3 2" xfId="12761"/>
    <cellStyle name="40% - akcent 4 3 2 2 2 2 3 2 2" xfId="12762"/>
    <cellStyle name="40% - akcent 4 3 2 2 2 2 3 2 3" xfId="12763"/>
    <cellStyle name="40% - akcent 4 3 2 2 2 2 3 3" xfId="12764"/>
    <cellStyle name="40% - akcent 4 3 2 2 2 2 3 4" xfId="12765"/>
    <cellStyle name="40% - akcent 4 3 2 2 2 2 4" xfId="12766"/>
    <cellStyle name="40% - akcent 4 3 2 2 2 2 4 2" xfId="12767"/>
    <cellStyle name="40% - akcent 4 3 2 2 2 2 4 2 2" xfId="12768"/>
    <cellStyle name="40% - akcent 4 3 2 2 2 2 4 2 3" xfId="12769"/>
    <cellStyle name="40% - akcent 4 3 2 2 2 2 4 3" xfId="12770"/>
    <cellStyle name="40% - akcent 4 3 2 2 2 2 4 4" xfId="12771"/>
    <cellStyle name="40% - akcent 4 3 2 2 2 2 5" xfId="12772"/>
    <cellStyle name="40% - akcent 4 3 2 2 2 2 5 2" xfId="12773"/>
    <cellStyle name="40% - akcent 4 3 2 2 2 2 5 3" xfId="12774"/>
    <cellStyle name="40% - akcent 4 3 2 2 2 2 6" xfId="12775"/>
    <cellStyle name="40% - akcent 4 3 2 2 2 2 7" xfId="12776"/>
    <cellStyle name="40% - akcent 4 3 2 2 2 3" xfId="12777"/>
    <cellStyle name="40% - akcent 4 3 2 2 2 3 2" xfId="12778"/>
    <cellStyle name="40% - akcent 4 3 2 2 2 3 2 2" xfId="12779"/>
    <cellStyle name="40% - akcent 4 3 2 2 2 3 2 2 2" xfId="12780"/>
    <cellStyle name="40% - akcent 4 3 2 2 2 3 2 2 3" xfId="12781"/>
    <cellStyle name="40% - akcent 4 3 2 2 2 3 2 3" xfId="12782"/>
    <cellStyle name="40% - akcent 4 3 2 2 2 3 2 4" xfId="12783"/>
    <cellStyle name="40% - akcent 4 3 2 2 2 3 3" xfId="12784"/>
    <cellStyle name="40% - akcent 4 3 2 2 2 3 3 2" xfId="12785"/>
    <cellStyle name="40% - akcent 4 3 2 2 2 3 3 2 2" xfId="12786"/>
    <cellStyle name="40% - akcent 4 3 2 2 2 3 3 2 3" xfId="12787"/>
    <cellStyle name="40% - akcent 4 3 2 2 2 3 3 3" xfId="12788"/>
    <cellStyle name="40% - akcent 4 3 2 2 2 3 3 4" xfId="12789"/>
    <cellStyle name="40% - akcent 4 3 2 2 2 3 4" xfId="12790"/>
    <cellStyle name="40% - akcent 4 3 2 2 2 3 4 2" xfId="12791"/>
    <cellStyle name="40% - akcent 4 3 2 2 2 3 4 2 2" xfId="12792"/>
    <cellStyle name="40% - akcent 4 3 2 2 2 3 4 2 3" xfId="12793"/>
    <cellStyle name="40% - akcent 4 3 2 2 2 3 4 3" xfId="12794"/>
    <cellStyle name="40% - akcent 4 3 2 2 2 3 4 4" xfId="12795"/>
    <cellStyle name="40% - akcent 4 3 2 2 2 3 5" xfId="12796"/>
    <cellStyle name="40% - akcent 4 3 2 2 2 3 5 2" xfId="12797"/>
    <cellStyle name="40% - akcent 4 3 2 2 2 3 5 3" xfId="12798"/>
    <cellStyle name="40% - akcent 4 3 2 2 2 3 6" xfId="12799"/>
    <cellStyle name="40% - akcent 4 3 2 2 2 3 7" xfId="12800"/>
    <cellStyle name="40% - akcent 4 3 2 2 2 4" xfId="12801"/>
    <cellStyle name="40% - akcent 4 3 2 2 2 4 2" xfId="12802"/>
    <cellStyle name="40% - akcent 4 3 2 2 2 4 2 2" xfId="12803"/>
    <cellStyle name="40% - akcent 4 3 2 2 2 4 2 3" xfId="12804"/>
    <cellStyle name="40% - akcent 4 3 2 2 2 4 3" xfId="12805"/>
    <cellStyle name="40% - akcent 4 3 2 2 2 4 4" xfId="12806"/>
    <cellStyle name="40% - akcent 4 3 2 2 2 5" xfId="12807"/>
    <cellStyle name="40% - akcent 4 3 2 2 2 5 2" xfId="12808"/>
    <cellStyle name="40% - akcent 4 3 2 2 2 5 2 2" xfId="12809"/>
    <cellStyle name="40% - akcent 4 3 2 2 2 5 2 3" xfId="12810"/>
    <cellStyle name="40% - akcent 4 3 2 2 2 5 3" xfId="12811"/>
    <cellStyle name="40% - akcent 4 3 2 2 2 5 4" xfId="12812"/>
    <cellStyle name="40% - akcent 4 3 2 2 2 6" xfId="12813"/>
    <cellStyle name="40% - akcent 4 3 2 2 2 6 2" xfId="12814"/>
    <cellStyle name="40% - akcent 4 3 2 2 2 6 2 2" xfId="12815"/>
    <cellStyle name="40% - akcent 4 3 2 2 2 6 2 3" xfId="12816"/>
    <cellStyle name="40% - akcent 4 3 2 2 2 6 3" xfId="12817"/>
    <cellStyle name="40% - akcent 4 3 2 2 2 6 4" xfId="12818"/>
    <cellStyle name="40% - akcent 4 3 2 2 2 7" xfId="12819"/>
    <cellStyle name="40% - akcent 4 3 2 2 2 7 2" xfId="12820"/>
    <cellStyle name="40% - akcent 4 3 2 2 2 7 3" xfId="12821"/>
    <cellStyle name="40% - akcent 4 3 2 2 2 8" xfId="12822"/>
    <cellStyle name="40% - akcent 4 3 2 2 2 9" xfId="12823"/>
    <cellStyle name="40% - akcent 4 3 2 2 3" xfId="12824"/>
    <cellStyle name="40% - akcent 4 3 2 2 3 2" xfId="12825"/>
    <cellStyle name="40% - akcent 4 3 2 2 3 2 2" xfId="12826"/>
    <cellStyle name="40% - akcent 4 3 2 2 3 2 2 2" xfId="12827"/>
    <cellStyle name="40% - akcent 4 3 2 2 3 2 2 3" xfId="12828"/>
    <cellStyle name="40% - akcent 4 3 2 2 3 2 3" xfId="12829"/>
    <cellStyle name="40% - akcent 4 3 2 2 3 2 4" xfId="12830"/>
    <cellStyle name="40% - akcent 4 3 2 2 3 3" xfId="12831"/>
    <cellStyle name="40% - akcent 4 3 2 2 3 3 2" xfId="12832"/>
    <cellStyle name="40% - akcent 4 3 2 2 3 3 2 2" xfId="12833"/>
    <cellStyle name="40% - akcent 4 3 2 2 3 3 2 3" xfId="12834"/>
    <cellStyle name="40% - akcent 4 3 2 2 3 3 3" xfId="12835"/>
    <cellStyle name="40% - akcent 4 3 2 2 3 3 4" xfId="12836"/>
    <cellStyle name="40% - akcent 4 3 2 2 3 4" xfId="12837"/>
    <cellStyle name="40% - akcent 4 3 2 2 3 4 2" xfId="12838"/>
    <cellStyle name="40% - akcent 4 3 2 2 3 4 2 2" xfId="12839"/>
    <cellStyle name="40% - akcent 4 3 2 2 3 4 2 3" xfId="12840"/>
    <cellStyle name="40% - akcent 4 3 2 2 3 4 3" xfId="12841"/>
    <cellStyle name="40% - akcent 4 3 2 2 3 4 4" xfId="12842"/>
    <cellStyle name="40% - akcent 4 3 2 2 3 5" xfId="12843"/>
    <cellStyle name="40% - akcent 4 3 2 2 3 5 2" xfId="12844"/>
    <cellStyle name="40% - akcent 4 3 2 2 3 5 3" xfId="12845"/>
    <cellStyle name="40% - akcent 4 3 2 2 3 6" xfId="12846"/>
    <cellStyle name="40% - akcent 4 3 2 2 3 7" xfId="12847"/>
    <cellStyle name="40% - akcent 4 3 2 2 4" xfId="12848"/>
    <cellStyle name="40% - akcent 4 3 2 2 4 2" xfId="12849"/>
    <cellStyle name="40% - akcent 4 3 2 2 4 2 2" xfId="12850"/>
    <cellStyle name="40% - akcent 4 3 2 2 4 2 2 2" xfId="12851"/>
    <cellStyle name="40% - akcent 4 3 2 2 4 2 2 3" xfId="12852"/>
    <cellStyle name="40% - akcent 4 3 2 2 4 2 3" xfId="12853"/>
    <cellStyle name="40% - akcent 4 3 2 2 4 2 4" xfId="12854"/>
    <cellStyle name="40% - akcent 4 3 2 2 4 3" xfId="12855"/>
    <cellStyle name="40% - akcent 4 3 2 2 4 3 2" xfId="12856"/>
    <cellStyle name="40% - akcent 4 3 2 2 4 3 2 2" xfId="12857"/>
    <cellStyle name="40% - akcent 4 3 2 2 4 3 2 3" xfId="12858"/>
    <cellStyle name="40% - akcent 4 3 2 2 4 3 3" xfId="12859"/>
    <cellStyle name="40% - akcent 4 3 2 2 4 3 4" xfId="12860"/>
    <cellStyle name="40% - akcent 4 3 2 2 4 4" xfId="12861"/>
    <cellStyle name="40% - akcent 4 3 2 2 4 4 2" xfId="12862"/>
    <cellStyle name="40% - akcent 4 3 2 2 4 4 2 2" xfId="12863"/>
    <cellStyle name="40% - akcent 4 3 2 2 4 4 2 3" xfId="12864"/>
    <cellStyle name="40% - akcent 4 3 2 2 4 4 3" xfId="12865"/>
    <cellStyle name="40% - akcent 4 3 2 2 4 4 4" xfId="12866"/>
    <cellStyle name="40% - akcent 4 3 2 2 4 5" xfId="12867"/>
    <cellStyle name="40% - akcent 4 3 2 2 4 5 2" xfId="12868"/>
    <cellStyle name="40% - akcent 4 3 2 2 4 5 3" xfId="12869"/>
    <cellStyle name="40% - akcent 4 3 2 2 4 6" xfId="12870"/>
    <cellStyle name="40% - akcent 4 3 2 2 4 7" xfId="12871"/>
    <cellStyle name="40% - akcent 4 3 2 2 5" xfId="12872"/>
    <cellStyle name="40% - akcent 4 3 2 2 5 2" xfId="12873"/>
    <cellStyle name="40% - akcent 4 3 2 2 5 2 2" xfId="12874"/>
    <cellStyle name="40% - akcent 4 3 2 2 5 2 2 2" xfId="12875"/>
    <cellStyle name="40% - akcent 4 3 2 2 5 2 2 3" xfId="12876"/>
    <cellStyle name="40% - akcent 4 3 2 2 5 2 3" xfId="12877"/>
    <cellStyle name="40% - akcent 4 3 2 2 5 2 4" xfId="12878"/>
    <cellStyle name="40% - akcent 4 3 2 2 5 3" xfId="12879"/>
    <cellStyle name="40% - akcent 4 3 2 2 5 3 2" xfId="12880"/>
    <cellStyle name="40% - akcent 4 3 2 2 5 3 3" xfId="12881"/>
    <cellStyle name="40% - akcent 4 3 2 2 5 4" xfId="12882"/>
    <cellStyle name="40% - akcent 4 3 2 2 5 5" xfId="12883"/>
    <cellStyle name="40% - akcent 4 3 2 2 6" xfId="12884"/>
    <cellStyle name="40% - akcent 4 3 2 2 6 2" xfId="12885"/>
    <cellStyle name="40% - akcent 4 3 2 2 6 2 2" xfId="12886"/>
    <cellStyle name="40% - akcent 4 3 2 2 6 2 3" xfId="12887"/>
    <cellStyle name="40% - akcent 4 3 2 2 6 3" xfId="12888"/>
    <cellStyle name="40% - akcent 4 3 2 2 6 4" xfId="12889"/>
    <cellStyle name="40% - akcent 4 3 2 2 7" xfId="12890"/>
    <cellStyle name="40% - akcent 4 3 2 2 7 2" xfId="12891"/>
    <cellStyle name="40% - akcent 4 3 2 2 7 2 2" xfId="12892"/>
    <cellStyle name="40% - akcent 4 3 2 2 7 2 3" xfId="12893"/>
    <cellStyle name="40% - akcent 4 3 2 2 7 3" xfId="12894"/>
    <cellStyle name="40% - akcent 4 3 2 2 7 4" xfId="12895"/>
    <cellStyle name="40% - akcent 4 3 2 2 8" xfId="12896"/>
    <cellStyle name="40% - akcent 4 3 2 2 8 2" xfId="12897"/>
    <cellStyle name="40% - akcent 4 3 2 2 8 2 2" xfId="12898"/>
    <cellStyle name="40% - akcent 4 3 2 2 8 2 3" xfId="12899"/>
    <cellStyle name="40% - akcent 4 3 2 2 8 3" xfId="12900"/>
    <cellStyle name="40% - akcent 4 3 2 2 8 4" xfId="12901"/>
    <cellStyle name="40% - akcent 4 3 2 2 9" xfId="12902"/>
    <cellStyle name="40% - akcent 4 3 2 2 9 2" xfId="12903"/>
    <cellStyle name="40% - akcent 4 3 2 2 9 3" xfId="12904"/>
    <cellStyle name="40% - akcent 4 3 2 3" xfId="12905"/>
    <cellStyle name="40% - akcent 4 3 2 3 10" xfId="12906"/>
    <cellStyle name="40% - akcent 4 3 2 3 2" xfId="12907"/>
    <cellStyle name="40% - akcent 4 3 2 3 2 2" xfId="12908"/>
    <cellStyle name="40% - akcent 4 3 2 3 2 2 2" xfId="12909"/>
    <cellStyle name="40% - akcent 4 3 2 3 2 2 2 2" xfId="12910"/>
    <cellStyle name="40% - akcent 4 3 2 3 2 2 2 3" xfId="12911"/>
    <cellStyle name="40% - akcent 4 3 2 3 2 2 3" xfId="12912"/>
    <cellStyle name="40% - akcent 4 3 2 3 2 2 4" xfId="12913"/>
    <cellStyle name="40% - akcent 4 3 2 3 2 3" xfId="12914"/>
    <cellStyle name="40% - akcent 4 3 2 3 2 3 2" xfId="12915"/>
    <cellStyle name="40% - akcent 4 3 2 3 2 3 2 2" xfId="12916"/>
    <cellStyle name="40% - akcent 4 3 2 3 2 3 2 3" xfId="12917"/>
    <cellStyle name="40% - akcent 4 3 2 3 2 3 3" xfId="12918"/>
    <cellStyle name="40% - akcent 4 3 2 3 2 3 4" xfId="12919"/>
    <cellStyle name="40% - akcent 4 3 2 3 2 4" xfId="12920"/>
    <cellStyle name="40% - akcent 4 3 2 3 2 4 2" xfId="12921"/>
    <cellStyle name="40% - akcent 4 3 2 3 2 4 2 2" xfId="12922"/>
    <cellStyle name="40% - akcent 4 3 2 3 2 4 2 3" xfId="12923"/>
    <cellStyle name="40% - akcent 4 3 2 3 2 4 3" xfId="12924"/>
    <cellStyle name="40% - akcent 4 3 2 3 2 4 4" xfId="12925"/>
    <cellStyle name="40% - akcent 4 3 2 3 2 5" xfId="12926"/>
    <cellStyle name="40% - akcent 4 3 2 3 2 5 2" xfId="12927"/>
    <cellStyle name="40% - akcent 4 3 2 3 2 5 3" xfId="12928"/>
    <cellStyle name="40% - akcent 4 3 2 3 2 6" xfId="12929"/>
    <cellStyle name="40% - akcent 4 3 2 3 2 7" xfId="12930"/>
    <cellStyle name="40% - akcent 4 3 2 3 3" xfId="12931"/>
    <cellStyle name="40% - akcent 4 3 2 3 3 2" xfId="12932"/>
    <cellStyle name="40% - akcent 4 3 2 3 3 2 2" xfId="12933"/>
    <cellStyle name="40% - akcent 4 3 2 3 3 2 2 2" xfId="12934"/>
    <cellStyle name="40% - akcent 4 3 2 3 3 2 2 3" xfId="12935"/>
    <cellStyle name="40% - akcent 4 3 2 3 3 2 3" xfId="12936"/>
    <cellStyle name="40% - akcent 4 3 2 3 3 2 4" xfId="12937"/>
    <cellStyle name="40% - akcent 4 3 2 3 3 3" xfId="12938"/>
    <cellStyle name="40% - akcent 4 3 2 3 3 3 2" xfId="12939"/>
    <cellStyle name="40% - akcent 4 3 2 3 3 3 2 2" xfId="12940"/>
    <cellStyle name="40% - akcent 4 3 2 3 3 3 2 3" xfId="12941"/>
    <cellStyle name="40% - akcent 4 3 2 3 3 3 3" xfId="12942"/>
    <cellStyle name="40% - akcent 4 3 2 3 3 3 4" xfId="12943"/>
    <cellStyle name="40% - akcent 4 3 2 3 3 4" xfId="12944"/>
    <cellStyle name="40% - akcent 4 3 2 3 3 4 2" xfId="12945"/>
    <cellStyle name="40% - akcent 4 3 2 3 3 4 2 2" xfId="12946"/>
    <cellStyle name="40% - akcent 4 3 2 3 3 4 2 3" xfId="12947"/>
    <cellStyle name="40% - akcent 4 3 2 3 3 4 3" xfId="12948"/>
    <cellStyle name="40% - akcent 4 3 2 3 3 4 4" xfId="12949"/>
    <cellStyle name="40% - akcent 4 3 2 3 3 5" xfId="12950"/>
    <cellStyle name="40% - akcent 4 3 2 3 3 5 2" xfId="12951"/>
    <cellStyle name="40% - akcent 4 3 2 3 3 5 3" xfId="12952"/>
    <cellStyle name="40% - akcent 4 3 2 3 3 6" xfId="12953"/>
    <cellStyle name="40% - akcent 4 3 2 3 3 7" xfId="12954"/>
    <cellStyle name="40% - akcent 4 3 2 3 4" xfId="12955"/>
    <cellStyle name="40% - akcent 4 3 2 3 4 2" xfId="12956"/>
    <cellStyle name="40% - akcent 4 3 2 3 4 2 2" xfId="12957"/>
    <cellStyle name="40% - akcent 4 3 2 3 4 2 2 2" xfId="12958"/>
    <cellStyle name="40% - akcent 4 3 2 3 4 2 2 3" xfId="12959"/>
    <cellStyle name="40% - akcent 4 3 2 3 4 2 3" xfId="12960"/>
    <cellStyle name="40% - akcent 4 3 2 3 4 2 4" xfId="12961"/>
    <cellStyle name="40% - akcent 4 3 2 3 4 3" xfId="12962"/>
    <cellStyle name="40% - akcent 4 3 2 3 4 3 2" xfId="12963"/>
    <cellStyle name="40% - akcent 4 3 2 3 4 3 3" xfId="12964"/>
    <cellStyle name="40% - akcent 4 3 2 3 4 4" xfId="12965"/>
    <cellStyle name="40% - akcent 4 3 2 3 4 5" xfId="12966"/>
    <cellStyle name="40% - akcent 4 3 2 3 5" xfId="12967"/>
    <cellStyle name="40% - akcent 4 3 2 3 5 2" xfId="12968"/>
    <cellStyle name="40% - akcent 4 3 2 3 5 2 2" xfId="12969"/>
    <cellStyle name="40% - akcent 4 3 2 3 5 2 3" xfId="12970"/>
    <cellStyle name="40% - akcent 4 3 2 3 5 3" xfId="12971"/>
    <cellStyle name="40% - akcent 4 3 2 3 5 4" xfId="12972"/>
    <cellStyle name="40% - akcent 4 3 2 3 6" xfId="12973"/>
    <cellStyle name="40% - akcent 4 3 2 3 6 2" xfId="12974"/>
    <cellStyle name="40% - akcent 4 3 2 3 6 2 2" xfId="12975"/>
    <cellStyle name="40% - akcent 4 3 2 3 6 2 3" xfId="12976"/>
    <cellStyle name="40% - akcent 4 3 2 3 6 3" xfId="12977"/>
    <cellStyle name="40% - akcent 4 3 2 3 6 4" xfId="12978"/>
    <cellStyle name="40% - akcent 4 3 2 3 7" xfId="12979"/>
    <cellStyle name="40% - akcent 4 3 2 3 7 2" xfId="12980"/>
    <cellStyle name="40% - akcent 4 3 2 3 7 2 2" xfId="12981"/>
    <cellStyle name="40% - akcent 4 3 2 3 7 2 3" xfId="12982"/>
    <cellStyle name="40% - akcent 4 3 2 3 7 3" xfId="12983"/>
    <cellStyle name="40% - akcent 4 3 2 3 7 4" xfId="12984"/>
    <cellStyle name="40% - akcent 4 3 2 3 8" xfId="12985"/>
    <cellStyle name="40% - akcent 4 3 2 3 8 2" xfId="12986"/>
    <cellStyle name="40% - akcent 4 3 2 3 8 3" xfId="12987"/>
    <cellStyle name="40% - akcent 4 3 2 3 9" xfId="12988"/>
    <cellStyle name="40% - akcent 4 3 2 4" xfId="12989"/>
    <cellStyle name="40% - akcent 4 3 2 4 2" xfId="12990"/>
    <cellStyle name="40% - akcent 4 3 2 4 2 2" xfId="12991"/>
    <cellStyle name="40% - akcent 4 3 2 4 2 2 2" xfId="12992"/>
    <cellStyle name="40% - akcent 4 3 2 4 2 2 2 2" xfId="12993"/>
    <cellStyle name="40% - akcent 4 3 2 4 2 2 2 3" xfId="12994"/>
    <cellStyle name="40% - akcent 4 3 2 4 2 2 3" xfId="12995"/>
    <cellStyle name="40% - akcent 4 3 2 4 2 2 4" xfId="12996"/>
    <cellStyle name="40% - akcent 4 3 2 4 2 3" xfId="12997"/>
    <cellStyle name="40% - akcent 4 3 2 4 2 3 2" xfId="12998"/>
    <cellStyle name="40% - akcent 4 3 2 4 2 3 2 2" xfId="12999"/>
    <cellStyle name="40% - akcent 4 3 2 4 2 3 2 3" xfId="13000"/>
    <cellStyle name="40% - akcent 4 3 2 4 2 3 3" xfId="13001"/>
    <cellStyle name="40% - akcent 4 3 2 4 2 3 4" xfId="13002"/>
    <cellStyle name="40% - akcent 4 3 2 4 2 4" xfId="13003"/>
    <cellStyle name="40% - akcent 4 3 2 4 2 4 2" xfId="13004"/>
    <cellStyle name="40% - akcent 4 3 2 4 2 4 2 2" xfId="13005"/>
    <cellStyle name="40% - akcent 4 3 2 4 2 4 2 3" xfId="13006"/>
    <cellStyle name="40% - akcent 4 3 2 4 2 4 3" xfId="13007"/>
    <cellStyle name="40% - akcent 4 3 2 4 2 4 4" xfId="13008"/>
    <cellStyle name="40% - akcent 4 3 2 4 2 5" xfId="13009"/>
    <cellStyle name="40% - akcent 4 3 2 4 2 5 2" xfId="13010"/>
    <cellStyle name="40% - akcent 4 3 2 4 2 5 3" xfId="13011"/>
    <cellStyle name="40% - akcent 4 3 2 4 2 6" xfId="13012"/>
    <cellStyle name="40% - akcent 4 3 2 4 2 7" xfId="13013"/>
    <cellStyle name="40% - akcent 4 3 2 4 3" xfId="13014"/>
    <cellStyle name="40% - akcent 4 3 2 4 3 2" xfId="13015"/>
    <cellStyle name="40% - akcent 4 3 2 4 3 2 2" xfId="13016"/>
    <cellStyle name="40% - akcent 4 3 2 4 3 2 2 2" xfId="13017"/>
    <cellStyle name="40% - akcent 4 3 2 4 3 2 2 3" xfId="13018"/>
    <cellStyle name="40% - akcent 4 3 2 4 3 2 3" xfId="13019"/>
    <cellStyle name="40% - akcent 4 3 2 4 3 2 4" xfId="13020"/>
    <cellStyle name="40% - akcent 4 3 2 4 3 3" xfId="13021"/>
    <cellStyle name="40% - akcent 4 3 2 4 3 3 2" xfId="13022"/>
    <cellStyle name="40% - akcent 4 3 2 4 3 3 2 2" xfId="13023"/>
    <cellStyle name="40% - akcent 4 3 2 4 3 3 2 3" xfId="13024"/>
    <cellStyle name="40% - akcent 4 3 2 4 3 3 3" xfId="13025"/>
    <cellStyle name="40% - akcent 4 3 2 4 3 3 4" xfId="13026"/>
    <cellStyle name="40% - akcent 4 3 2 4 3 4" xfId="13027"/>
    <cellStyle name="40% - akcent 4 3 2 4 3 4 2" xfId="13028"/>
    <cellStyle name="40% - akcent 4 3 2 4 3 4 2 2" xfId="13029"/>
    <cellStyle name="40% - akcent 4 3 2 4 3 4 2 3" xfId="13030"/>
    <cellStyle name="40% - akcent 4 3 2 4 3 4 3" xfId="13031"/>
    <cellStyle name="40% - akcent 4 3 2 4 3 4 4" xfId="13032"/>
    <cellStyle name="40% - akcent 4 3 2 4 3 5" xfId="13033"/>
    <cellStyle name="40% - akcent 4 3 2 4 3 5 2" xfId="13034"/>
    <cellStyle name="40% - akcent 4 3 2 4 3 5 3" xfId="13035"/>
    <cellStyle name="40% - akcent 4 3 2 4 3 6" xfId="13036"/>
    <cellStyle name="40% - akcent 4 3 2 4 3 7" xfId="13037"/>
    <cellStyle name="40% - akcent 4 3 2 4 4" xfId="13038"/>
    <cellStyle name="40% - akcent 4 3 2 4 4 2" xfId="13039"/>
    <cellStyle name="40% - akcent 4 3 2 4 4 2 2" xfId="13040"/>
    <cellStyle name="40% - akcent 4 3 2 4 4 2 3" xfId="13041"/>
    <cellStyle name="40% - akcent 4 3 2 4 4 3" xfId="13042"/>
    <cellStyle name="40% - akcent 4 3 2 4 4 4" xfId="13043"/>
    <cellStyle name="40% - akcent 4 3 2 4 5" xfId="13044"/>
    <cellStyle name="40% - akcent 4 3 2 4 5 2" xfId="13045"/>
    <cellStyle name="40% - akcent 4 3 2 4 5 2 2" xfId="13046"/>
    <cellStyle name="40% - akcent 4 3 2 4 5 2 3" xfId="13047"/>
    <cellStyle name="40% - akcent 4 3 2 4 5 3" xfId="13048"/>
    <cellStyle name="40% - akcent 4 3 2 4 5 4" xfId="13049"/>
    <cellStyle name="40% - akcent 4 3 2 4 6" xfId="13050"/>
    <cellStyle name="40% - akcent 4 3 2 4 6 2" xfId="13051"/>
    <cellStyle name="40% - akcent 4 3 2 4 6 2 2" xfId="13052"/>
    <cellStyle name="40% - akcent 4 3 2 4 6 2 3" xfId="13053"/>
    <cellStyle name="40% - akcent 4 3 2 4 6 3" xfId="13054"/>
    <cellStyle name="40% - akcent 4 3 2 4 6 4" xfId="13055"/>
    <cellStyle name="40% - akcent 4 3 2 4 7" xfId="13056"/>
    <cellStyle name="40% - akcent 4 3 2 4 7 2" xfId="13057"/>
    <cellStyle name="40% - akcent 4 3 2 4 7 3" xfId="13058"/>
    <cellStyle name="40% - akcent 4 3 2 4 8" xfId="13059"/>
    <cellStyle name="40% - akcent 4 3 2 4 9" xfId="13060"/>
    <cellStyle name="40% - akcent 4 3 2 5" xfId="13061"/>
    <cellStyle name="40% - akcent 4 3 2 5 2" xfId="13062"/>
    <cellStyle name="40% - akcent 4 3 2 5 2 2" xfId="13063"/>
    <cellStyle name="40% - akcent 4 3 2 5 2 2 2" xfId="13064"/>
    <cellStyle name="40% - akcent 4 3 2 5 2 2 3" xfId="13065"/>
    <cellStyle name="40% - akcent 4 3 2 5 2 3" xfId="13066"/>
    <cellStyle name="40% - akcent 4 3 2 5 2 4" xfId="13067"/>
    <cellStyle name="40% - akcent 4 3 2 5 3" xfId="13068"/>
    <cellStyle name="40% - akcent 4 3 2 5 3 2" xfId="13069"/>
    <cellStyle name="40% - akcent 4 3 2 5 3 2 2" xfId="13070"/>
    <cellStyle name="40% - akcent 4 3 2 5 3 2 3" xfId="13071"/>
    <cellStyle name="40% - akcent 4 3 2 5 3 3" xfId="13072"/>
    <cellStyle name="40% - akcent 4 3 2 5 3 4" xfId="13073"/>
    <cellStyle name="40% - akcent 4 3 2 5 4" xfId="13074"/>
    <cellStyle name="40% - akcent 4 3 2 5 4 2" xfId="13075"/>
    <cellStyle name="40% - akcent 4 3 2 5 4 2 2" xfId="13076"/>
    <cellStyle name="40% - akcent 4 3 2 5 4 2 3" xfId="13077"/>
    <cellStyle name="40% - akcent 4 3 2 5 4 3" xfId="13078"/>
    <cellStyle name="40% - akcent 4 3 2 5 4 4" xfId="13079"/>
    <cellStyle name="40% - akcent 4 3 2 5 5" xfId="13080"/>
    <cellStyle name="40% - akcent 4 3 2 5 5 2" xfId="13081"/>
    <cellStyle name="40% - akcent 4 3 2 5 5 3" xfId="13082"/>
    <cellStyle name="40% - akcent 4 3 2 5 6" xfId="13083"/>
    <cellStyle name="40% - akcent 4 3 2 5 7" xfId="13084"/>
    <cellStyle name="40% - akcent 4 3 2 6" xfId="13085"/>
    <cellStyle name="40% - akcent 4 3 2 6 2" xfId="13086"/>
    <cellStyle name="40% - akcent 4 3 2 6 2 2" xfId="13087"/>
    <cellStyle name="40% - akcent 4 3 2 6 2 2 2" xfId="13088"/>
    <cellStyle name="40% - akcent 4 3 2 6 2 2 3" xfId="13089"/>
    <cellStyle name="40% - akcent 4 3 2 6 2 3" xfId="13090"/>
    <cellStyle name="40% - akcent 4 3 2 6 2 4" xfId="13091"/>
    <cellStyle name="40% - akcent 4 3 2 6 3" xfId="13092"/>
    <cellStyle name="40% - akcent 4 3 2 6 3 2" xfId="13093"/>
    <cellStyle name="40% - akcent 4 3 2 6 3 2 2" xfId="13094"/>
    <cellStyle name="40% - akcent 4 3 2 6 3 2 3" xfId="13095"/>
    <cellStyle name="40% - akcent 4 3 2 6 3 3" xfId="13096"/>
    <cellStyle name="40% - akcent 4 3 2 6 3 4" xfId="13097"/>
    <cellStyle name="40% - akcent 4 3 2 6 4" xfId="13098"/>
    <cellStyle name="40% - akcent 4 3 2 6 4 2" xfId="13099"/>
    <cellStyle name="40% - akcent 4 3 2 6 4 2 2" xfId="13100"/>
    <cellStyle name="40% - akcent 4 3 2 6 4 2 3" xfId="13101"/>
    <cellStyle name="40% - akcent 4 3 2 6 4 3" xfId="13102"/>
    <cellStyle name="40% - akcent 4 3 2 6 4 4" xfId="13103"/>
    <cellStyle name="40% - akcent 4 3 2 6 5" xfId="13104"/>
    <cellStyle name="40% - akcent 4 3 2 6 5 2" xfId="13105"/>
    <cellStyle name="40% - akcent 4 3 2 6 5 3" xfId="13106"/>
    <cellStyle name="40% - akcent 4 3 2 6 6" xfId="13107"/>
    <cellStyle name="40% - akcent 4 3 2 6 7" xfId="13108"/>
    <cellStyle name="40% - akcent 4 3 2 7" xfId="13109"/>
    <cellStyle name="40% - akcent 4 3 2 7 2" xfId="13110"/>
    <cellStyle name="40% - akcent 4 3 2 7 2 2" xfId="13111"/>
    <cellStyle name="40% - akcent 4 3 2 7 2 2 2" xfId="13112"/>
    <cellStyle name="40% - akcent 4 3 2 7 2 2 3" xfId="13113"/>
    <cellStyle name="40% - akcent 4 3 2 7 2 3" xfId="13114"/>
    <cellStyle name="40% - akcent 4 3 2 7 2 4" xfId="13115"/>
    <cellStyle name="40% - akcent 4 3 2 7 3" xfId="13116"/>
    <cellStyle name="40% - akcent 4 3 2 7 3 2" xfId="13117"/>
    <cellStyle name="40% - akcent 4 3 2 7 3 3" xfId="13118"/>
    <cellStyle name="40% - akcent 4 3 2 7 4" xfId="13119"/>
    <cellStyle name="40% - akcent 4 3 2 7 5" xfId="13120"/>
    <cellStyle name="40% - akcent 4 3 2 8" xfId="13121"/>
    <cellStyle name="40% - akcent 4 3 2 8 2" xfId="13122"/>
    <cellStyle name="40% - akcent 4 3 2 8 2 2" xfId="13123"/>
    <cellStyle name="40% - akcent 4 3 2 8 2 3" xfId="13124"/>
    <cellStyle name="40% - akcent 4 3 2 8 3" xfId="13125"/>
    <cellStyle name="40% - akcent 4 3 2 8 4" xfId="13126"/>
    <cellStyle name="40% - akcent 4 3 2 9" xfId="13127"/>
    <cellStyle name="40% - akcent 4 3 2 9 2" xfId="13128"/>
    <cellStyle name="40% - akcent 4 3 2 9 2 2" xfId="13129"/>
    <cellStyle name="40% - akcent 4 3 2 9 2 3" xfId="13130"/>
    <cellStyle name="40% - akcent 4 3 2 9 3" xfId="13131"/>
    <cellStyle name="40% - akcent 4 3 2 9 4" xfId="13132"/>
    <cellStyle name="40% - akcent 4 3 3" xfId="13133"/>
    <cellStyle name="40% - akcent 4 3 3 10" xfId="13134"/>
    <cellStyle name="40% - akcent 4 3 3 11" xfId="13135"/>
    <cellStyle name="40% - akcent 4 3 3 2" xfId="13136"/>
    <cellStyle name="40% - akcent 4 3 3 2 10" xfId="13137"/>
    <cellStyle name="40% - akcent 4 3 3 2 2" xfId="13138"/>
    <cellStyle name="40% - akcent 4 3 3 2 2 2" xfId="13139"/>
    <cellStyle name="40% - akcent 4 3 3 2 2 2 2" xfId="13140"/>
    <cellStyle name="40% - akcent 4 3 3 2 2 2 2 2" xfId="13141"/>
    <cellStyle name="40% - akcent 4 3 3 2 2 2 2 3" xfId="13142"/>
    <cellStyle name="40% - akcent 4 3 3 2 2 2 3" xfId="13143"/>
    <cellStyle name="40% - akcent 4 3 3 2 2 2 4" xfId="13144"/>
    <cellStyle name="40% - akcent 4 3 3 2 2 3" xfId="13145"/>
    <cellStyle name="40% - akcent 4 3 3 2 2 3 2" xfId="13146"/>
    <cellStyle name="40% - akcent 4 3 3 2 2 3 2 2" xfId="13147"/>
    <cellStyle name="40% - akcent 4 3 3 2 2 3 2 3" xfId="13148"/>
    <cellStyle name="40% - akcent 4 3 3 2 2 3 3" xfId="13149"/>
    <cellStyle name="40% - akcent 4 3 3 2 2 3 4" xfId="13150"/>
    <cellStyle name="40% - akcent 4 3 3 2 2 4" xfId="13151"/>
    <cellStyle name="40% - akcent 4 3 3 2 2 4 2" xfId="13152"/>
    <cellStyle name="40% - akcent 4 3 3 2 2 4 2 2" xfId="13153"/>
    <cellStyle name="40% - akcent 4 3 3 2 2 4 2 3" xfId="13154"/>
    <cellStyle name="40% - akcent 4 3 3 2 2 4 3" xfId="13155"/>
    <cellStyle name="40% - akcent 4 3 3 2 2 4 4" xfId="13156"/>
    <cellStyle name="40% - akcent 4 3 3 2 2 5" xfId="13157"/>
    <cellStyle name="40% - akcent 4 3 3 2 2 5 2" xfId="13158"/>
    <cellStyle name="40% - akcent 4 3 3 2 2 5 3" xfId="13159"/>
    <cellStyle name="40% - akcent 4 3 3 2 2 6" xfId="13160"/>
    <cellStyle name="40% - akcent 4 3 3 2 2 7" xfId="13161"/>
    <cellStyle name="40% - akcent 4 3 3 2 3" xfId="13162"/>
    <cellStyle name="40% - akcent 4 3 3 2 3 2" xfId="13163"/>
    <cellStyle name="40% - akcent 4 3 3 2 3 2 2" xfId="13164"/>
    <cellStyle name="40% - akcent 4 3 3 2 3 2 2 2" xfId="13165"/>
    <cellStyle name="40% - akcent 4 3 3 2 3 2 2 3" xfId="13166"/>
    <cellStyle name="40% - akcent 4 3 3 2 3 2 3" xfId="13167"/>
    <cellStyle name="40% - akcent 4 3 3 2 3 2 4" xfId="13168"/>
    <cellStyle name="40% - akcent 4 3 3 2 3 3" xfId="13169"/>
    <cellStyle name="40% - akcent 4 3 3 2 3 3 2" xfId="13170"/>
    <cellStyle name="40% - akcent 4 3 3 2 3 3 2 2" xfId="13171"/>
    <cellStyle name="40% - akcent 4 3 3 2 3 3 2 3" xfId="13172"/>
    <cellStyle name="40% - akcent 4 3 3 2 3 3 3" xfId="13173"/>
    <cellStyle name="40% - akcent 4 3 3 2 3 3 4" xfId="13174"/>
    <cellStyle name="40% - akcent 4 3 3 2 3 4" xfId="13175"/>
    <cellStyle name="40% - akcent 4 3 3 2 3 4 2" xfId="13176"/>
    <cellStyle name="40% - akcent 4 3 3 2 3 4 2 2" xfId="13177"/>
    <cellStyle name="40% - akcent 4 3 3 2 3 4 2 3" xfId="13178"/>
    <cellStyle name="40% - akcent 4 3 3 2 3 4 3" xfId="13179"/>
    <cellStyle name="40% - akcent 4 3 3 2 3 4 4" xfId="13180"/>
    <cellStyle name="40% - akcent 4 3 3 2 3 5" xfId="13181"/>
    <cellStyle name="40% - akcent 4 3 3 2 3 5 2" xfId="13182"/>
    <cellStyle name="40% - akcent 4 3 3 2 3 5 3" xfId="13183"/>
    <cellStyle name="40% - akcent 4 3 3 2 3 6" xfId="13184"/>
    <cellStyle name="40% - akcent 4 3 3 2 3 7" xfId="13185"/>
    <cellStyle name="40% - akcent 4 3 3 2 4" xfId="13186"/>
    <cellStyle name="40% - akcent 4 3 3 2 4 2" xfId="13187"/>
    <cellStyle name="40% - akcent 4 3 3 2 4 2 2" xfId="13188"/>
    <cellStyle name="40% - akcent 4 3 3 2 4 2 2 2" xfId="13189"/>
    <cellStyle name="40% - akcent 4 3 3 2 4 2 2 3" xfId="13190"/>
    <cellStyle name="40% - akcent 4 3 3 2 4 2 3" xfId="13191"/>
    <cellStyle name="40% - akcent 4 3 3 2 4 2 4" xfId="13192"/>
    <cellStyle name="40% - akcent 4 3 3 2 4 3" xfId="13193"/>
    <cellStyle name="40% - akcent 4 3 3 2 4 3 2" xfId="13194"/>
    <cellStyle name="40% - akcent 4 3 3 2 4 3 3" xfId="13195"/>
    <cellStyle name="40% - akcent 4 3 3 2 4 4" xfId="13196"/>
    <cellStyle name="40% - akcent 4 3 3 2 4 5" xfId="13197"/>
    <cellStyle name="40% - akcent 4 3 3 2 5" xfId="13198"/>
    <cellStyle name="40% - akcent 4 3 3 2 5 2" xfId="13199"/>
    <cellStyle name="40% - akcent 4 3 3 2 5 2 2" xfId="13200"/>
    <cellStyle name="40% - akcent 4 3 3 2 5 2 3" xfId="13201"/>
    <cellStyle name="40% - akcent 4 3 3 2 5 3" xfId="13202"/>
    <cellStyle name="40% - akcent 4 3 3 2 5 4" xfId="13203"/>
    <cellStyle name="40% - akcent 4 3 3 2 6" xfId="13204"/>
    <cellStyle name="40% - akcent 4 3 3 2 6 2" xfId="13205"/>
    <cellStyle name="40% - akcent 4 3 3 2 6 2 2" xfId="13206"/>
    <cellStyle name="40% - akcent 4 3 3 2 6 2 3" xfId="13207"/>
    <cellStyle name="40% - akcent 4 3 3 2 6 3" xfId="13208"/>
    <cellStyle name="40% - akcent 4 3 3 2 6 4" xfId="13209"/>
    <cellStyle name="40% - akcent 4 3 3 2 7" xfId="13210"/>
    <cellStyle name="40% - akcent 4 3 3 2 7 2" xfId="13211"/>
    <cellStyle name="40% - akcent 4 3 3 2 7 2 2" xfId="13212"/>
    <cellStyle name="40% - akcent 4 3 3 2 7 2 3" xfId="13213"/>
    <cellStyle name="40% - akcent 4 3 3 2 7 3" xfId="13214"/>
    <cellStyle name="40% - akcent 4 3 3 2 7 4" xfId="13215"/>
    <cellStyle name="40% - akcent 4 3 3 2 8" xfId="13216"/>
    <cellStyle name="40% - akcent 4 3 3 2 8 2" xfId="13217"/>
    <cellStyle name="40% - akcent 4 3 3 2 8 3" xfId="13218"/>
    <cellStyle name="40% - akcent 4 3 3 2 9" xfId="13219"/>
    <cellStyle name="40% - akcent 4 3 3 3" xfId="13220"/>
    <cellStyle name="40% - akcent 4 3 3 3 2" xfId="13221"/>
    <cellStyle name="40% - akcent 4 3 3 3 2 2" xfId="13222"/>
    <cellStyle name="40% - akcent 4 3 3 3 2 2 2" xfId="13223"/>
    <cellStyle name="40% - akcent 4 3 3 3 2 2 3" xfId="13224"/>
    <cellStyle name="40% - akcent 4 3 3 3 2 3" xfId="13225"/>
    <cellStyle name="40% - akcent 4 3 3 3 2 4" xfId="13226"/>
    <cellStyle name="40% - akcent 4 3 3 3 3" xfId="13227"/>
    <cellStyle name="40% - akcent 4 3 3 3 3 2" xfId="13228"/>
    <cellStyle name="40% - akcent 4 3 3 3 3 2 2" xfId="13229"/>
    <cellStyle name="40% - akcent 4 3 3 3 3 2 3" xfId="13230"/>
    <cellStyle name="40% - akcent 4 3 3 3 3 3" xfId="13231"/>
    <cellStyle name="40% - akcent 4 3 3 3 3 4" xfId="13232"/>
    <cellStyle name="40% - akcent 4 3 3 3 4" xfId="13233"/>
    <cellStyle name="40% - akcent 4 3 3 3 4 2" xfId="13234"/>
    <cellStyle name="40% - akcent 4 3 3 3 4 2 2" xfId="13235"/>
    <cellStyle name="40% - akcent 4 3 3 3 4 2 3" xfId="13236"/>
    <cellStyle name="40% - akcent 4 3 3 3 4 3" xfId="13237"/>
    <cellStyle name="40% - akcent 4 3 3 3 4 4" xfId="13238"/>
    <cellStyle name="40% - akcent 4 3 3 3 5" xfId="13239"/>
    <cellStyle name="40% - akcent 4 3 3 3 5 2" xfId="13240"/>
    <cellStyle name="40% - akcent 4 3 3 3 5 3" xfId="13241"/>
    <cellStyle name="40% - akcent 4 3 3 3 6" xfId="13242"/>
    <cellStyle name="40% - akcent 4 3 3 3 7" xfId="13243"/>
    <cellStyle name="40% - akcent 4 3 3 4" xfId="13244"/>
    <cellStyle name="40% - akcent 4 3 3 4 2" xfId="13245"/>
    <cellStyle name="40% - akcent 4 3 3 4 2 2" xfId="13246"/>
    <cellStyle name="40% - akcent 4 3 3 4 2 2 2" xfId="13247"/>
    <cellStyle name="40% - akcent 4 3 3 4 2 2 3" xfId="13248"/>
    <cellStyle name="40% - akcent 4 3 3 4 2 3" xfId="13249"/>
    <cellStyle name="40% - akcent 4 3 3 4 2 4" xfId="13250"/>
    <cellStyle name="40% - akcent 4 3 3 4 3" xfId="13251"/>
    <cellStyle name="40% - akcent 4 3 3 4 3 2" xfId="13252"/>
    <cellStyle name="40% - akcent 4 3 3 4 3 2 2" xfId="13253"/>
    <cellStyle name="40% - akcent 4 3 3 4 3 2 3" xfId="13254"/>
    <cellStyle name="40% - akcent 4 3 3 4 3 3" xfId="13255"/>
    <cellStyle name="40% - akcent 4 3 3 4 3 4" xfId="13256"/>
    <cellStyle name="40% - akcent 4 3 3 4 4" xfId="13257"/>
    <cellStyle name="40% - akcent 4 3 3 4 4 2" xfId="13258"/>
    <cellStyle name="40% - akcent 4 3 3 4 4 2 2" xfId="13259"/>
    <cellStyle name="40% - akcent 4 3 3 4 4 2 3" xfId="13260"/>
    <cellStyle name="40% - akcent 4 3 3 4 4 3" xfId="13261"/>
    <cellStyle name="40% - akcent 4 3 3 4 4 4" xfId="13262"/>
    <cellStyle name="40% - akcent 4 3 3 4 5" xfId="13263"/>
    <cellStyle name="40% - akcent 4 3 3 4 5 2" xfId="13264"/>
    <cellStyle name="40% - akcent 4 3 3 4 5 3" xfId="13265"/>
    <cellStyle name="40% - akcent 4 3 3 4 6" xfId="13266"/>
    <cellStyle name="40% - akcent 4 3 3 4 7" xfId="13267"/>
    <cellStyle name="40% - akcent 4 3 3 5" xfId="13268"/>
    <cellStyle name="40% - akcent 4 3 3 5 2" xfId="13269"/>
    <cellStyle name="40% - akcent 4 3 3 5 2 2" xfId="13270"/>
    <cellStyle name="40% - akcent 4 3 3 5 2 2 2" xfId="13271"/>
    <cellStyle name="40% - akcent 4 3 3 5 2 2 3" xfId="13272"/>
    <cellStyle name="40% - akcent 4 3 3 5 2 3" xfId="13273"/>
    <cellStyle name="40% - akcent 4 3 3 5 2 4" xfId="13274"/>
    <cellStyle name="40% - akcent 4 3 3 5 3" xfId="13275"/>
    <cellStyle name="40% - akcent 4 3 3 5 3 2" xfId="13276"/>
    <cellStyle name="40% - akcent 4 3 3 5 3 3" xfId="13277"/>
    <cellStyle name="40% - akcent 4 3 3 5 4" xfId="13278"/>
    <cellStyle name="40% - akcent 4 3 3 5 5" xfId="13279"/>
    <cellStyle name="40% - akcent 4 3 3 6" xfId="13280"/>
    <cellStyle name="40% - akcent 4 3 3 6 2" xfId="13281"/>
    <cellStyle name="40% - akcent 4 3 3 6 2 2" xfId="13282"/>
    <cellStyle name="40% - akcent 4 3 3 6 2 3" xfId="13283"/>
    <cellStyle name="40% - akcent 4 3 3 6 3" xfId="13284"/>
    <cellStyle name="40% - akcent 4 3 3 6 4" xfId="13285"/>
    <cellStyle name="40% - akcent 4 3 3 7" xfId="13286"/>
    <cellStyle name="40% - akcent 4 3 3 7 2" xfId="13287"/>
    <cellStyle name="40% - akcent 4 3 3 7 2 2" xfId="13288"/>
    <cellStyle name="40% - akcent 4 3 3 7 2 3" xfId="13289"/>
    <cellStyle name="40% - akcent 4 3 3 7 3" xfId="13290"/>
    <cellStyle name="40% - akcent 4 3 3 7 4" xfId="13291"/>
    <cellStyle name="40% - akcent 4 3 3 8" xfId="13292"/>
    <cellStyle name="40% - akcent 4 3 3 8 2" xfId="13293"/>
    <cellStyle name="40% - akcent 4 3 3 8 2 2" xfId="13294"/>
    <cellStyle name="40% - akcent 4 3 3 8 2 3" xfId="13295"/>
    <cellStyle name="40% - akcent 4 3 3 8 3" xfId="13296"/>
    <cellStyle name="40% - akcent 4 3 3 8 4" xfId="13297"/>
    <cellStyle name="40% - akcent 4 3 3 9" xfId="13298"/>
    <cellStyle name="40% - akcent 4 3 3 9 2" xfId="13299"/>
    <cellStyle name="40% - akcent 4 3 3 9 3" xfId="13300"/>
    <cellStyle name="40% - akcent 4 3 4" xfId="13301"/>
    <cellStyle name="40% - akcent 4 3 4 10" xfId="13302"/>
    <cellStyle name="40% - akcent 4 3 4 2" xfId="13303"/>
    <cellStyle name="40% - akcent 4 3 4 2 2" xfId="13304"/>
    <cellStyle name="40% - akcent 4 3 4 2 2 2" xfId="13305"/>
    <cellStyle name="40% - akcent 4 3 4 2 2 2 2" xfId="13306"/>
    <cellStyle name="40% - akcent 4 3 4 2 2 2 3" xfId="13307"/>
    <cellStyle name="40% - akcent 4 3 4 2 2 3" xfId="13308"/>
    <cellStyle name="40% - akcent 4 3 4 2 2 4" xfId="13309"/>
    <cellStyle name="40% - akcent 4 3 4 2 3" xfId="13310"/>
    <cellStyle name="40% - akcent 4 3 4 2 3 2" xfId="13311"/>
    <cellStyle name="40% - akcent 4 3 4 2 3 2 2" xfId="13312"/>
    <cellStyle name="40% - akcent 4 3 4 2 3 2 3" xfId="13313"/>
    <cellStyle name="40% - akcent 4 3 4 2 3 3" xfId="13314"/>
    <cellStyle name="40% - akcent 4 3 4 2 3 4" xfId="13315"/>
    <cellStyle name="40% - akcent 4 3 4 2 4" xfId="13316"/>
    <cellStyle name="40% - akcent 4 3 4 2 4 2" xfId="13317"/>
    <cellStyle name="40% - akcent 4 3 4 2 4 2 2" xfId="13318"/>
    <cellStyle name="40% - akcent 4 3 4 2 4 2 3" xfId="13319"/>
    <cellStyle name="40% - akcent 4 3 4 2 4 3" xfId="13320"/>
    <cellStyle name="40% - akcent 4 3 4 2 4 4" xfId="13321"/>
    <cellStyle name="40% - akcent 4 3 4 2 5" xfId="13322"/>
    <cellStyle name="40% - akcent 4 3 4 2 5 2" xfId="13323"/>
    <cellStyle name="40% - akcent 4 3 4 2 5 3" xfId="13324"/>
    <cellStyle name="40% - akcent 4 3 4 2 6" xfId="13325"/>
    <cellStyle name="40% - akcent 4 3 4 2 7" xfId="13326"/>
    <cellStyle name="40% - akcent 4 3 4 3" xfId="13327"/>
    <cellStyle name="40% - akcent 4 3 4 3 2" xfId="13328"/>
    <cellStyle name="40% - akcent 4 3 4 3 2 2" xfId="13329"/>
    <cellStyle name="40% - akcent 4 3 4 3 2 2 2" xfId="13330"/>
    <cellStyle name="40% - akcent 4 3 4 3 2 2 3" xfId="13331"/>
    <cellStyle name="40% - akcent 4 3 4 3 2 3" xfId="13332"/>
    <cellStyle name="40% - akcent 4 3 4 3 2 4" xfId="13333"/>
    <cellStyle name="40% - akcent 4 3 4 3 3" xfId="13334"/>
    <cellStyle name="40% - akcent 4 3 4 3 3 2" xfId="13335"/>
    <cellStyle name="40% - akcent 4 3 4 3 3 2 2" xfId="13336"/>
    <cellStyle name="40% - akcent 4 3 4 3 3 2 3" xfId="13337"/>
    <cellStyle name="40% - akcent 4 3 4 3 3 3" xfId="13338"/>
    <cellStyle name="40% - akcent 4 3 4 3 3 4" xfId="13339"/>
    <cellStyle name="40% - akcent 4 3 4 3 4" xfId="13340"/>
    <cellStyle name="40% - akcent 4 3 4 3 4 2" xfId="13341"/>
    <cellStyle name="40% - akcent 4 3 4 3 4 2 2" xfId="13342"/>
    <cellStyle name="40% - akcent 4 3 4 3 4 2 3" xfId="13343"/>
    <cellStyle name="40% - akcent 4 3 4 3 4 3" xfId="13344"/>
    <cellStyle name="40% - akcent 4 3 4 3 4 4" xfId="13345"/>
    <cellStyle name="40% - akcent 4 3 4 3 5" xfId="13346"/>
    <cellStyle name="40% - akcent 4 3 4 3 5 2" xfId="13347"/>
    <cellStyle name="40% - akcent 4 3 4 3 5 3" xfId="13348"/>
    <cellStyle name="40% - akcent 4 3 4 3 6" xfId="13349"/>
    <cellStyle name="40% - akcent 4 3 4 3 7" xfId="13350"/>
    <cellStyle name="40% - akcent 4 3 4 4" xfId="13351"/>
    <cellStyle name="40% - akcent 4 3 4 4 2" xfId="13352"/>
    <cellStyle name="40% - akcent 4 3 4 4 2 2" xfId="13353"/>
    <cellStyle name="40% - akcent 4 3 4 4 2 2 2" xfId="13354"/>
    <cellStyle name="40% - akcent 4 3 4 4 2 2 3" xfId="13355"/>
    <cellStyle name="40% - akcent 4 3 4 4 2 3" xfId="13356"/>
    <cellStyle name="40% - akcent 4 3 4 4 2 4" xfId="13357"/>
    <cellStyle name="40% - akcent 4 3 4 4 3" xfId="13358"/>
    <cellStyle name="40% - akcent 4 3 4 4 3 2" xfId="13359"/>
    <cellStyle name="40% - akcent 4 3 4 4 3 3" xfId="13360"/>
    <cellStyle name="40% - akcent 4 3 4 4 4" xfId="13361"/>
    <cellStyle name="40% - akcent 4 3 4 4 5" xfId="13362"/>
    <cellStyle name="40% - akcent 4 3 4 5" xfId="13363"/>
    <cellStyle name="40% - akcent 4 3 4 5 2" xfId="13364"/>
    <cellStyle name="40% - akcent 4 3 4 5 2 2" xfId="13365"/>
    <cellStyle name="40% - akcent 4 3 4 5 2 3" xfId="13366"/>
    <cellStyle name="40% - akcent 4 3 4 5 3" xfId="13367"/>
    <cellStyle name="40% - akcent 4 3 4 5 4" xfId="13368"/>
    <cellStyle name="40% - akcent 4 3 4 6" xfId="13369"/>
    <cellStyle name="40% - akcent 4 3 4 6 2" xfId="13370"/>
    <cellStyle name="40% - akcent 4 3 4 6 2 2" xfId="13371"/>
    <cellStyle name="40% - akcent 4 3 4 6 2 3" xfId="13372"/>
    <cellStyle name="40% - akcent 4 3 4 6 3" xfId="13373"/>
    <cellStyle name="40% - akcent 4 3 4 6 4" xfId="13374"/>
    <cellStyle name="40% - akcent 4 3 4 7" xfId="13375"/>
    <cellStyle name="40% - akcent 4 3 4 7 2" xfId="13376"/>
    <cellStyle name="40% - akcent 4 3 4 7 2 2" xfId="13377"/>
    <cellStyle name="40% - akcent 4 3 4 7 2 3" xfId="13378"/>
    <cellStyle name="40% - akcent 4 3 4 7 3" xfId="13379"/>
    <cellStyle name="40% - akcent 4 3 4 7 4" xfId="13380"/>
    <cellStyle name="40% - akcent 4 3 4 8" xfId="13381"/>
    <cellStyle name="40% - akcent 4 3 4 8 2" xfId="13382"/>
    <cellStyle name="40% - akcent 4 3 4 8 3" xfId="13383"/>
    <cellStyle name="40% - akcent 4 3 4 9" xfId="13384"/>
    <cellStyle name="40% - akcent 4 3 5" xfId="13385"/>
    <cellStyle name="40% - akcent 4 3 5 2" xfId="13386"/>
    <cellStyle name="40% - akcent 4 3 5 2 2" xfId="13387"/>
    <cellStyle name="40% - akcent 4 3 5 2 2 2" xfId="13388"/>
    <cellStyle name="40% - akcent 4 3 5 2 2 2 2" xfId="13389"/>
    <cellStyle name="40% - akcent 4 3 5 2 2 2 3" xfId="13390"/>
    <cellStyle name="40% - akcent 4 3 5 2 2 3" xfId="13391"/>
    <cellStyle name="40% - akcent 4 3 5 2 2 4" xfId="13392"/>
    <cellStyle name="40% - akcent 4 3 5 2 3" xfId="13393"/>
    <cellStyle name="40% - akcent 4 3 5 2 3 2" xfId="13394"/>
    <cellStyle name="40% - akcent 4 3 5 2 3 2 2" xfId="13395"/>
    <cellStyle name="40% - akcent 4 3 5 2 3 2 3" xfId="13396"/>
    <cellStyle name="40% - akcent 4 3 5 2 3 3" xfId="13397"/>
    <cellStyle name="40% - akcent 4 3 5 2 3 4" xfId="13398"/>
    <cellStyle name="40% - akcent 4 3 5 2 4" xfId="13399"/>
    <cellStyle name="40% - akcent 4 3 5 2 4 2" xfId="13400"/>
    <cellStyle name="40% - akcent 4 3 5 2 4 2 2" xfId="13401"/>
    <cellStyle name="40% - akcent 4 3 5 2 4 2 3" xfId="13402"/>
    <cellStyle name="40% - akcent 4 3 5 2 4 3" xfId="13403"/>
    <cellStyle name="40% - akcent 4 3 5 2 4 4" xfId="13404"/>
    <cellStyle name="40% - akcent 4 3 5 2 5" xfId="13405"/>
    <cellStyle name="40% - akcent 4 3 5 2 5 2" xfId="13406"/>
    <cellStyle name="40% - akcent 4 3 5 2 5 3" xfId="13407"/>
    <cellStyle name="40% - akcent 4 3 5 2 6" xfId="13408"/>
    <cellStyle name="40% - akcent 4 3 5 2 7" xfId="13409"/>
    <cellStyle name="40% - akcent 4 3 5 3" xfId="13410"/>
    <cellStyle name="40% - akcent 4 3 5 3 2" xfId="13411"/>
    <cellStyle name="40% - akcent 4 3 5 3 2 2" xfId="13412"/>
    <cellStyle name="40% - akcent 4 3 5 3 2 2 2" xfId="13413"/>
    <cellStyle name="40% - akcent 4 3 5 3 2 2 3" xfId="13414"/>
    <cellStyle name="40% - akcent 4 3 5 3 2 3" xfId="13415"/>
    <cellStyle name="40% - akcent 4 3 5 3 2 4" xfId="13416"/>
    <cellStyle name="40% - akcent 4 3 5 3 3" xfId="13417"/>
    <cellStyle name="40% - akcent 4 3 5 3 3 2" xfId="13418"/>
    <cellStyle name="40% - akcent 4 3 5 3 3 2 2" xfId="13419"/>
    <cellStyle name="40% - akcent 4 3 5 3 3 2 3" xfId="13420"/>
    <cellStyle name="40% - akcent 4 3 5 3 3 3" xfId="13421"/>
    <cellStyle name="40% - akcent 4 3 5 3 3 4" xfId="13422"/>
    <cellStyle name="40% - akcent 4 3 5 3 4" xfId="13423"/>
    <cellStyle name="40% - akcent 4 3 5 3 4 2" xfId="13424"/>
    <cellStyle name="40% - akcent 4 3 5 3 4 2 2" xfId="13425"/>
    <cellStyle name="40% - akcent 4 3 5 3 4 2 3" xfId="13426"/>
    <cellStyle name="40% - akcent 4 3 5 3 4 3" xfId="13427"/>
    <cellStyle name="40% - akcent 4 3 5 3 4 4" xfId="13428"/>
    <cellStyle name="40% - akcent 4 3 5 3 5" xfId="13429"/>
    <cellStyle name="40% - akcent 4 3 5 3 5 2" xfId="13430"/>
    <cellStyle name="40% - akcent 4 3 5 3 5 3" xfId="13431"/>
    <cellStyle name="40% - akcent 4 3 5 3 6" xfId="13432"/>
    <cellStyle name="40% - akcent 4 3 5 3 7" xfId="13433"/>
    <cellStyle name="40% - akcent 4 3 5 4" xfId="13434"/>
    <cellStyle name="40% - akcent 4 3 5 4 2" xfId="13435"/>
    <cellStyle name="40% - akcent 4 3 5 4 2 2" xfId="13436"/>
    <cellStyle name="40% - akcent 4 3 5 4 2 3" xfId="13437"/>
    <cellStyle name="40% - akcent 4 3 5 4 3" xfId="13438"/>
    <cellStyle name="40% - akcent 4 3 5 4 4" xfId="13439"/>
    <cellStyle name="40% - akcent 4 3 5 5" xfId="13440"/>
    <cellStyle name="40% - akcent 4 3 5 5 2" xfId="13441"/>
    <cellStyle name="40% - akcent 4 3 5 5 2 2" xfId="13442"/>
    <cellStyle name="40% - akcent 4 3 5 5 2 3" xfId="13443"/>
    <cellStyle name="40% - akcent 4 3 5 5 3" xfId="13444"/>
    <cellStyle name="40% - akcent 4 3 5 5 4" xfId="13445"/>
    <cellStyle name="40% - akcent 4 3 5 6" xfId="13446"/>
    <cellStyle name="40% - akcent 4 3 5 6 2" xfId="13447"/>
    <cellStyle name="40% - akcent 4 3 5 6 2 2" xfId="13448"/>
    <cellStyle name="40% - akcent 4 3 5 6 2 3" xfId="13449"/>
    <cellStyle name="40% - akcent 4 3 5 6 3" xfId="13450"/>
    <cellStyle name="40% - akcent 4 3 5 6 4" xfId="13451"/>
    <cellStyle name="40% - akcent 4 3 5 7" xfId="13452"/>
    <cellStyle name="40% - akcent 4 3 5 7 2" xfId="13453"/>
    <cellStyle name="40% - akcent 4 3 5 7 3" xfId="13454"/>
    <cellStyle name="40% - akcent 4 3 5 8" xfId="13455"/>
    <cellStyle name="40% - akcent 4 3 5 9" xfId="13456"/>
    <cellStyle name="40% - akcent 4 3 6" xfId="13457"/>
    <cellStyle name="40% - akcent 4 3 6 2" xfId="13458"/>
    <cellStyle name="40% - akcent 4 3 6 2 2" xfId="13459"/>
    <cellStyle name="40% - akcent 4 3 6 2 2 2" xfId="13460"/>
    <cellStyle name="40% - akcent 4 3 6 2 2 2 2" xfId="13461"/>
    <cellStyle name="40% - akcent 4 3 6 2 2 2 3" xfId="13462"/>
    <cellStyle name="40% - akcent 4 3 6 2 2 3" xfId="13463"/>
    <cellStyle name="40% - akcent 4 3 6 2 2 4" xfId="13464"/>
    <cellStyle name="40% - akcent 4 3 6 2 3" xfId="13465"/>
    <cellStyle name="40% - akcent 4 3 6 2 3 2" xfId="13466"/>
    <cellStyle name="40% - akcent 4 3 6 2 3 2 2" xfId="13467"/>
    <cellStyle name="40% - akcent 4 3 6 2 3 2 3" xfId="13468"/>
    <cellStyle name="40% - akcent 4 3 6 2 3 3" xfId="13469"/>
    <cellStyle name="40% - akcent 4 3 6 2 3 4" xfId="13470"/>
    <cellStyle name="40% - akcent 4 3 6 2 4" xfId="13471"/>
    <cellStyle name="40% - akcent 4 3 6 2 4 2" xfId="13472"/>
    <cellStyle name="40% - akcent 4 3 6 2 4 2 2" xfId="13473"/>
    <cellStyle name="40% - akcent 4 3 6 2 4 2 3" xfId="13474"/>
    <cellStyle name="40% - akcent 4 3 6 2 4 3" xfId="13475"/>
    <cellStyle name="40% - akcent 4 3 6 2 4 4" xfId="13476"/>
    <cellStyle name="40% - akcent 4 3 6 2 5" xfId="13477"/>
    <cellStyle name="40% - akcent 4 3 6 2 5 2" xfId="13478"/>
    <cellStyle name="40% - akcent 4 3 6 2 5 3" xfId="13479"/>
    <cellStyle name="40% - akcent 4 3 6 2 6" xfId="13480"/>
    <cellStyle name="40% - akcent 4 3 6 2 7" xfId="13481"/>
    <cellStyle name="40% - akcent 4 3 6 3" xfId="13482"/>
    <cellStyle name="40% - akcent 4 3 6 3 2" xfId="13483"/>
    <cellStyle name="40% - akcent 4 3 6 3 2 2" xfId="13484"/>
    <cellStyle name="40% - akcent 4 3 6 3 2 2 2" xfId="13485"/>
    <cellStyle name="40% - akcent 4 3 6 3 2 2 3" xfId="13486"/>
    <cellStyle name="40% - akcent 4 3 6 3 2 3" xfId="13487"/>
    <cellStyle name="40% - akcent 4 3 6 3 2 4" xfId="13488"/>
    <cellStyle name="40% - akcent 4 3 6 3 3" xfId="13489"/>
    <cellStyle name="40% - akcent 4 3 6 3 3 2" xfId="13490"/>
    <cellStyle name="40% - akcent 4 3 6 3 3 2 2" xfId="13491"/>
    <cellStyle name="40% - akcent 4 3 6 3 3 2 3" xfId="13492"/>
    <cellStyle name="40% - akcent 4 3 6 3 3 3" xfId="13493"/>
    <cellStyle name="40% - akcent 4 3 6 3 3 4" xfId="13494"/>
    <cellStyle name="40% - akcent 4 3 6 3 4" xfId="13495"/>
    <cellStyle name="40% - akcent 4 3 6 3 4 2" xfId="13496"/>
    <cellStyle name="40% - akcent 4 3 6 3 4 2 2" xfId="13497"/>
    <cellStyle name="40% - akcent 4 3 6 3 4 2 3" xfId="13498"/>
    <cellStyle name="40% - akcent 4 3 6 3 4 3" xfId="13499"/>
    <cellStyle name="40% - akcent 4 3 6 3 4 4" xfId="13500"/>
    <cellStyle name="40% - akcent 4 3 6 3 5" xfId="13501"/>
    <cellStyle name="40% - akcent 4 3 6 3 5 2" xfId="13502"/>
    <cellStyle name="40% - akcent 4 3 6 3 5 3" xfId="13503"/>
    <cellStyle name="40% - akcent 4 3 6 3 6" xfId="13504"/>
    <cellStyle name="40% - akcent 4 3 6 3 7" xfId="13505"/>
    <cellStyle name="40% - akcent 4 3 6 4" xfId="13506"/>
    <cellStyle name="40% - akcent 4 3 6 4 2" xfId="13507"/>
    <cellStyle name="40% - akcent 4 3 6 4 2 2" xfId="13508"/>
    <cellStyle name="40% - akcent 4 3 6 4 2 3" xfId="13509"/>
    <cellStyle name="40% - akcent 4 3 6 4 3" xfId="13510"/>
    <cellStyle name="40% - akcent 4 3 6 4 4" xfId="13511"/>
    <cellStyle name="40% - akcent 4 3 6 5" xfId="13512"/>
    <cellStyle name="40% - akcent 4 3 6 5 2" xfId="13513"/>
    <cellStyle name="40% - akcent 4 3 6 5 2 2" xfId="13514"/>
    <cellStyle name="40% - akcent 4 3 6 5 2 3" xfId="13515"/>
    <cellStyle name="40% - akcent 4 3 6 5 3" xfId="13516"/>
    <cellStyle name="40% - akcent 4 3 6 5 4" xfId="13517"/>
    <cellStyle name="40% - akcent 4 3 6 6" xfId="13518"/>
    <cellStyle name="40% - akcent 4 3 6 6 2" xfId="13519"/>
    <cellStyle name="40% - akcent 4 3 6 6 2 2" xfId="13520"/>
    <cellStyle name="40% - akcent 4 3 6 6 2 3" xfId="13521"/>
    <cellStyle name="40% - akcent 4 3 6 6 3" xfId="13522"/>
    <cellStyle name="40% - akcent 4 3 6 6 4" xfId="13523"/>
    <cellStyle name="40% - akcent 4 3 6 7" xfId="13524"/>
    <cellStyle name="40% - akcent 4 3 6 7 2" xfId="13525"/>
    <cellStyle name="40% - akcent 4 3 6 7 3" xfId="13526"/>
    <cellStyle name="40% - akcent 4 3 6 8" xfId="13527"/>
    <cellStyle name="40% - akcent 4 3 6 9" xfId="13528"/>
    <cellStyle name="40% - akcent 4 3 7" xfId="13529"/>
    <cellStyle name="40% - akcent 4 3 7 2" xfId="13530"/>
    <cellStyle name="40% - akcent 4 3 7 2 2" xfId="13531"/>
    <cellStyle name="40% - akcent 4 3 7 2 2 2" xfId="13532"/>
    <cellStyle name="40% - akcent 4 3 7 2 2 2 2" xfId="13533"/>
    <cellStyle name="40% - akcent 4 3 7 2 2 2 3" xfId="13534"/>
    <cellStyle name="40% - akcent 4 3 7 2 2 3" xfId="13535"/>
    <cellStyle name="40% - akcent 4 3 7 2 2 4" xfId="13536"/>
    <cellStyle name="40% - akcent 4 3 7 2 3" xfId="13537"/>
    <cellStyle name="40% - akcent 4 3 7 2 3 2" xfId="13538"/>
    <cellStyle name="40% - akcent 4 3 7 2 3 2 2" xfId="13539"/>
    <cellStyle name="40% - akcent 4 3 7 2 3 2 3" xfId="13540"/>
    <cellStyle name="40% - akcent 4 3 7 2 3 3" xfId="13541"/>
    <cellStyle name="40% - akcent 4 3 7 2 3 4" xfId="13542"/>
    <cellStyle name="40% - akcent 4 3 7 2 4" xfId="13543"/>
    <cellStyle name="40% - akcent 4 3 7 2 4 2" xfId="13544"/>
    <cellStyle name="40% - akcent 4 3 7 2 4 2 2" xfId="13545"/>
    <cellStyle name="40% - akcent 4 3 7 2 4 2 3" xfId="13546"/>
    <cellStyle name="40% - akcent 4 3 7 2 4 3" xfId="13547"/>
    <cellStyle name="40% - akcent 4 3 7 2 4 4" xfId="13548"/>
    <cellStyle name="40% - akcent 4 3 7 2 5" xfId="13549"/>
    <cellStyle name="40% - akcent 4 3 7 2 5 2" xfId="13550"/>
    <cellStyle name="40% - akcent 4 3 7 2 5 3" xfId="13551"/>
    <cellStyle name="40% - akcent 4 3 7 2 6" xfId="13552"/>
    <cellStyle name="40% - akcent 4 3 7 2 7" xfId="13553"/>
    <cellStyle name="40% - akcent 4 3 7 3" xfId="13554"/>
    <cellStyle name="40% - akcent 4 3 7 3 2" xfId="13555"/>
    <cellStyle name="40% - akcent 4 3 7 3 2 2" xfId="13556"/>
    <cellStyle name="40% - akcent 4 3 7 3 2 3" xfId="13557"/>
    <cellStyle name="40% - akcent 4 3 7 3 3" xfId="13558"/>
    <cellStyle name="40% - akcent 4 3 7 3 4" xfId="13559"/>
    <cellStyle name="40% - akcent 4 3 7 4" xfId="13560"/>
    <cellStyle name="40% - akcent 4 3 7 4 2" xfId="13561"/>
    <cellStyle name="40% - akcent 4 3 7 4 2 2" xfId="13562"/>
    <cellStyle name="40% - akcent 4 3 7 4 2 3" xfId="13563"/>
    <cellStyle name="40% - akcent 4 3 7 4 3" xfId="13564"/>
    <cellStyle name="40% - akcent 4 3 7 4 4" xfId="13565"/>
    <cellStyle name="40% - akcent 4 3 7 5" xfId="13566"/>
    <cellStyle name="40% - akcent 4 3 7 5 2" xfId="13567"/>
    <cellStyle name="40% - akcent 4 3 7 5 2 2" xfId="13568"/>
    <cellStyle name="40% - akcent 4 3 7 5 2 3" xfId="13569"/>
    <cellStyle name="40% - akcent 4 3 7 5 3" xfId="13570"/>
    <cellStyle name="40% - akcent 4 3 7 5 4" xfId="13571"/>
    <cellStyle name="40% - akcent 4 3 7 6" xfId="13572"/>
    <cellStyle name="40% - akcent 4 3 7 6 2" xfId="13573"/>
    <cellStyle name="40% - akcent 4 3 7 6 3" xfId="13574"/>
    <cellStyle name="40% - akcent 4 3 7 7" xfId="13575"/>
    <cellStyle name="40% - akcent 4 3 7 8" xfId="13576"/>
    <cellStyle name="40% - akcent 4 3 8" xfId="13577"/>
    <cellStyle name="40% - akcent 4 3 8 2" xfId="13578"/>
    <cellStyle name="40% - akcent 4 3 8 2 2" xfId="13579"/>
    <cellStyle name="40% - akcent 4 3 8 2 2 2" xfId="13580"/>
    <cellStyle name="40% - akcent 4 3 8 2 2 2 2" xfId="13581"/>
    <cellStyle name="40% - akcent 4 3 8 2 2 2 3" xfId="13582"/>
    <cellStyle name="40% - akcent 4 3 8 2 2 3" xfId="13583"/>
    <cellStyle name="40% - akcent 4 3 8 2 2 4" xfId="13584"/>
    <cellStyle name="40% - akcent 4 3 8 2 3" xfId="13585"/>
    <cellStyle name="40% - akcent 4 3 8 2 3 2" xfId="13586"/>
    <cellStyle name="40% - akcent 4 3 8 2 3 2 2" xfId="13587"/>
    <cellStyle name="40% - akcent 4 3 8 2 3 2 3" xfId="13588"/>
    <cellStyle name="40% - akcent 4 3 8 2 3 3" xfId="13589"/>
    <cellStyle name="40% - akcent 4 3 8 2 3 4" xfId="13590"/>
    <cellStyle name="40% - akcent 4 3 8 2 4" xfId="13591"/>
    <cellStyle name="40% - akcent 4 3 8 2 4 2" xfId="13592"/>
    <cellStyle name="40% - akcent 4 3 8 2 4 2 2" xfId="13593"/>
    <cellStyle name="40% - akcent 4 3 8 2 4 2 3" xfId="13594"/>
    <cellStyle name="40% - akcent 4 3 8 2 4 3" xfId="13595"/>
    <cellStyle name="40% - akcent 4 3 8 2 4 4" xfId="13596"/>
    <cellStyle name="40% - akcent 4 3 8 2 5" xfId="13597"/>
    <cellStyle name="40% - akcent 4 3 8 2 5 2" xfId="13598"/>
    <cellStyle name="40% - akcent 4 3 8 2 5 3" xfId="13599"/>
    <cellStyle name="40% - akcent 4 3 8 2 6" xfId="13600"/>
    <cellStyle name="40% - akcent 4 3 8 2 7" xfId="13601"/>
    <cellStyle name="40% - akcent 4 3 8 3" xfId="13602"/>
    <cellStyle name="40% - akcent 4 3 8 3 2" xfId="13603"/>
    <cellStyle name="40% - akcent 4 3 8 3 2 2" xfId="13604"/>
    <cellStyle name="40% - akcent 4 3 8 3 2 3" xfId="13605"/>
    <cellStyle name="40% - akcent 4 3 8 3 3" xfId="13606"/>
    <cellStyle name="40% - akcent 4 3 8 3 4" xfId="13607"/>
    <cellStyle name="40% - akcent 4 3 8 4" xfId="13608"/>
    <cellStyle name="40% - akcent 4 3 8 4 2" xfId="13609"/>
    <cellStyle name="40% - akcent 4 3 8 4 2 2" xfId="13610"/>
    <cellStyle name="40% - akcent 4 3 8 4 2 3" xfId="13611"/>
    <cellStyle name="40% - akcent 4 3 8 4 3" xfId="13612"/>
    <cellStyle name="40% - akcent 4 3 8 4 4" xfId="13613"/>
    <cellStyle name="40% - akcent 4 3 8 5" xfId="13614"/>
    <cellStyle name="40% - akcent 4 3 8 5 2" xfId="13615"/>
    <cellStyle name="40% - akcent 4 3 8 5 2 2" xfId="13616"/>
    <cellStyle name="40% - akcent 4 3 8 5 2 3" xfId="13617"/>
    <cellStyle name="40% - akcent 4 3 8 5 3" xfId="13618"/>
    <cellStyle name="40% - akcent 4 3 8 5 4" xfId="13619"/>
    <cellStyle name="40% - akcent 4 3 8 6" xfId="13620"/>
    <cellStyle name="40% - akcent 4 3 8 6 2" xfId="13621"/>
    <cellStyle name="40% - akcent 4 3 8 6 3" xfId="13622"/>
    <cellStyle name="40% - akcent 4 3 8 7" xfId="13623"/>
    <cellStyle name="40% - akcent 4 3 8 8" xfId="13624"/>
    <cellStyle name="40% - akcent 4 3 9" xfId="13625"/>
    <cellStyle name="40% - akcent 4 3 9 2" xfId="13626"/>
    <cellStyle name="40% - akcent 4 3 9 2 2" xfId="13627"/>
    <cellStyle name="40% - akcent 4 3 9 2 2 2" xfId="13628"/>
    <cellStyle name="40% - akcent 4 3 9 2 2 3" xfId="13629"/>
    <cellStyle name="40% - akcent 4 3 9 2 3" xfId="13630"/>
    <cellStyle name="40% - akcent 4 3 9 2 4" xfId="13631"/>
    <cellStyle name="40% - akcent 4 3 9 3" xfId="13632"/>
    <cellStyle name="40% - akcent 4 3 9 3 2" xfId="13633"/>
    <cellStyle name="40% - akcent 4 3 9 3 2 2" xfId="13634"/>
    <cellStyle name="40% - akcent 4 3 9 3 2 3" xfId="13635"/>
    <cellStyle name="40% - akcent 4 3 9 3 3" xfId="13636"/>
    <cellStyle name="40% - akcent 4 3 9 3 4" xfId="13637"/>
    <cellStyle name="40% - akcent 4 3 9 4" xfId="13638"/>
    <cellStyle name="40% - akcent 4 3 9 4 2" xfId="13639"/>
    <cellStyle name="40% - akcent 4 3 9 4 2 2" xfId="13640"/>
    <cellStyle name="40% - akcent 4 3 9 4 2 3" xfId="13641"/>
    <cellStyle name="40% - akcent 4 3 9 4 3" xfId="13642"/>
    <cellStyle name="40% - akcent 4 3 9 4 4" xfId="13643"/>
    <cellStyle name="40% - akcent 4 3 9 5" xfId="13644"/>
    <cellStyle name="40% - akcent 4 3 9 5 2" xfId="13645"/>
    <cellStyle name="40% - akcent 4 3 9 5 3" xfId="13646"/>
    <cellStyle name="40% - akcent 4 3 9 6" xfId="13647"/>
    <cellStyle name="40% - akcent 4 3 9 7" xfId="13648"/>
    <cellStyle name="40% - akcent 4 4" xfId="13649"/>
    <cellStyle name="40% - akcent 4 5" xfId="13650"/>
    <cellStyle name="40% - akcent 4 6" xfId="13651"/>
    <cellStyle name="40% - akcent 5 2" xfId="13652"/>
    <cellStyle name="40% - akcent 5 2 2" xfId="13653"/>
    <cellStyle name="40% - akcent 5 2 3" xfId="13654"/>
    <cellStyle name="40% - akcent 5 2 4" xfId="13655"/>
    <cellStyle name="40% - akcent 5 3" xfId="13656"/>
    <cellStyle name="40% - akcent 5 3 10" xfId="13657"/>
    <cellStyle name="40% - akcent 5 3 10 2" xfId="13658"/>
    <cellStyle name="40% - akcent 5 3 10 2 2" xfId="13659"/>
    <cellStyle name="40% - akcent 5 3 10 2 2 2" xfId="13660"/>
    <cellStyle name="40% - akcent 5 3 10 2 2 3" xfId="13661"/>
    <cellStyle name="40% - akcent 5 3 10 2 3" xfId="13662"/>
    <cellStyle name="40% - akcent 5 3 10 2 4" xfId="13663"/>
    <cellStyle name="40% - akcent 5 3 10 3" xfId="13664"/>
    <cellStyle name="40% - akcent 5 3 10 3 2" xfId="13665"/>
    <cellStyle name="40% - akcent 5 3 10 3 3" xfId="13666"/>
    <cellStyle name="40% - akcent 5 3 10 4" xfId="13667"/>
    <cellStyle name="40% - akcent 5 3 10 5" xfId="13668"/>
    <cellStyle name="40% - akcent 5 3 11" xfId="13669"/>
    <cellStyle name="40% - akcent 5 3 11 2" xfId="13670"/>
    <cellStyle name="40% - akcent 5 3 11 2 2" xfId="13671"/>
    <cellStyle name="40% - akcent 5 3 11 2 3" xfId="13672"/>
    <cellStyle name="40% - akcent 5 3 11 3" xfId="13673"/>
    <cellStyle name="40% - akcent 5 3 11 4" xfId="13674"/>
    <cellStyle name="40% - akcent 5 3 12" xfId="13675"/>
    <cellStyle name="40% - akcent 5 3 12 2" xfId="13676"/>
    <cellStyle name="40% - akcent 5 3 12 2 2" xfId="13677"/>
    <cellStyle name="40% - akcent 5 3 12 2 3" xfId="13678"/>
    <cellStyle name="40% - akcent 5 3 12 3" xfId="13679"/>
    <cellStyle name="40% - akcent 5 3 12 4" xfId="13680"/>
    <cellStyle name="40% - akcent 5 3 13" xfId="13681"/>
    <cellStyle name="40% - akcent 5 3 13 2" xfId="13682"/>
    <cellStyle name="40% - akcent 5 3 13 2 2" xfId="13683"/>
    <cellStyle name="40% - akcent 5 3 13 2 3" xfId="13684"/>
    <cellStyle name="40% - akcent 5 3 13 3" xfId="13685"/>
    <cellStyle name="40% - akcent 5 3 13 4" xfId="13686"/>
    <cellStyle name="40% - akcent 5 3 14" xfId="13687"/>
    <cellStyle name="40% - akcent 5 3 14 2" xfId="13688"/>
    <cellStyle name="40% - akcent 5 3 14 3" xfId="13689"/>
    <cellStyle name="40% - akcent 5 3 15" xfId="13690"/>
    <cellStyle name="40% - akcent 5 3 15 2" xfId="13691"/>
    <cellStyle name="40% - akcent 5 3 15 3" xfId="13692"/>
    <cellStyle name="40% - akcent 5 3 16" xfId="13693"/>
    <cellStyle name="40% - akcent 5 3 17" xfId="13694"/>
    <cellStyle name="40% - akcent 5 3 18" xfId="13695"/>
    <cellStyle name="40% - akcent 5 3 2" xfId="13696"/>
    <cellStyle name="40% - akcent 5 3 2 10" xfId="13697"/>
    <cellStyle name="40% - akcent 5 3 2 10 2" xfId="13698"/>
    <cellStyle name="40% - akcent 5 3 2 10 2 2" xfId="13699"/>
    <cellStyle name="40% - akcent 5 3 2 10 2 3" xfId="13700"/>
    <cellStyle name="40% - akcent 5 3 2 10 3" xfId="13701"/>
    <cellStyle name="40% - akcent 5 3 2 10 4" xfId="13702"/>
    <cellStyle name="40% - akcent 5 3 2 11" xfId="13703"/>
    <cellStyle name="40% - akcent 5 3 2 11 2" xfId="13704"/>
    <cellStyle name="40% - akcent 5 3 2 11 3" xfId="13705"/>
    <cellStyle name="40% - akcent 5 3 2 12" xfId="13706"/>
    <cellStyle name="40% - akcent 5 3 2 12 2" xfId="13707"/>
    <cellStyle name="40% - akcent 5 3 2 12 3" xfId="13708"/>
    <cellStyle name="40% - akcent 5 3 2 13" xfId="13709"/>
    <cellStyle name="40% - akcent 5 3 2 14" xfId="13710"/>
    <cellStyle name="40% - akcent 5 3 2 15" xfId="13711"/>
    <cellStyle name="40% - akcent 5 3 2 2" xfId="13712"/>
    <cellStyle name="40% - akcent 5 3 2 2 10" xfId="13713"/>
    <cellStyle name="40% - akcent 5 3 2 2 11" xfId="13714"/>
    <cellStyle name="40% - akcent 5 3 2 2 2" xfId="13715"/>
    <cellStyle name="40% - akcent 5 3 2 2 2 2" xfId="13716"/>
    <cellStyle name="40% - akcent 5 3 2 2 2 2 2" xfId="13717"/>
    <cellStyle name="40% - akcent 5 3 2 2 2 2 2 2" xfId="13718"/>
    <cellStyle name="40% - akcent 5 3 2 2 2 2 2 2 2" xfId="13719"/>
    <cellStyle name="40% - akcent 5 3 2 2 2 2 2 2 3" xfId="13720"/>
    <cellStyle name="40% - akcent 5 3 2 2 2 2 2 3" xfId="13721"/>
    <cellStyle name="40% - akcent 5 3 2 2 2 2 2 4" xfId="13722"/>
    <cellStyle name="40% - akcent 5 3 2 2 2 2 3" xfId="13723"/>
    <cellStyle name="40% - akcent 5 3 2 2 2 2 3 2" xfId="13724"/>
    <cellStyle name="40% - akcent 5 3 2 2 2 2 3 2 2" xfId="13725"/>
    <cellStyle name="40% - akcent 5 3 2 2 2 2 3 2 3" xfId="13726"/>
    <cellStyle name="40% - akcent 5 3 2 2 2 2 3 3" xfId="13727"/>
    <cellStyle name="40% - akcent 5 3 2 2 2 2 3 4" xfId="13728"/>
    <cellStyle name="40% - akcent 5 3 2 2 2 2 4" xfId="13729"/>
    <cellStyle name="40% - akcent 5 3 2 2 2 2 4 2" xfId="13730"/>
    <cellStyle name="40% - akcent 5 3 2 2 2 2 4 2 2" xfId="13731"/>
    <cellStyle name="40% - akcent 5 3 2 2 2 2 4 2 3" xfId="13732"/>
    <cellStyle name="40% - akcent 5 3 2 2 2 2 4 3" xfId="13733"/>
    <cellStyle name="40% - akcent 5 3 2 2 2 2 4 4" xfId="13734"/>
    <cellStyle name="40% - akcent 5 3 2 2 2 2 5" xfId="13735"/>
    <cellStyle name="40% - akcent 5 3 2 2 2 2 5 2" xfId="13736"/>
    <cellStyle name="40% - akcent 5 3 2 2 2 2 5 3" xfId="13737"/>
    <cellStyle name="40% - akcent 5 3 2 2 2 2 6" xfId="13738"/>
    <cellStyle name="40% - akcent 5 3 2 2 2 2 7" xfId="13739"/>
    <cellStyle name="40% - akcent 5 3 2 2 2 3" xfId="13740"/>
    <cellStyle name="40% - akcent 5 3 2 2 2 3 2" xfId="13741"/>
    <cellStyle name="40% - akcent 5 3 2 2 2 3 2 2" xfId="13742"/>
    <cellStyle name="40% - akcent 5 3 2 2 2 3 2 2 2" xfId="13743"/>
    <cellStyle name="40% - akcent 5 3 2 2 2 3 2 2 3" xfId="13744"/>
    <cellStyle name="40% - akcent 5 3 2 2 2 3 2 3" xfId="13745"/>
    <cellStyle name="40% - akcent 5 3 2 2 2 3 2 4" xfId="13746"/>
    <cellStyle name="40% - akcent 5 3 2 2 2 3 3" xfId="13747"/>
    <cellStyle name="40% - akcent 5 3 2 2 2 3 3 2" xfId="13748"/>
    <cellStyle name="40% - akcent 5 3 2 2 2 3 3 2 2" xfId="13749"/>
    <cellStyle name="40% - akcent 5 3 2 2 2 3 3 2 3" xfId="13750"/>
    <cellStyle name="40% - akcent 5 3 2 2 2 3 3 3" xfId="13751"/>
    <cellStyle name="40% - akcent 5 3 2 2 2 3 3 4" xfId="13752"/>
    <cellStyle name="40% - akcent 5 3 2 2 2 3 4" xfId="13753"/>
    <cellStyle name="40% - akcent 5 3 2 2 2 3 4 2" xfId="13754"/>
    <cellStyle name="40% - akcent 5 3 2 2 2 3 4 2 2" xfId="13755"/>
    <cellStyle name="40% - akcent 5 3 2 2 2 3 4 2 3" xfId="13756"/>
    <cellStyle name="40% - akcent 5 3 2 2 2 3 4 3" xfId="13757"/>
    <cellStyle name="40% - akcent 5 3 2 2 2 3 4 4" xfId="13758"/>
    <cellStyle name="40% - akcent 5 3 2 2 2 3 5" xfId="13759"/>
    <cellStyle name="40% - akcent 5 3 2 2 2 3 5 2" xfId="13760"/>
    <cellStyle name="40% - akcent 5 3 2 2 2 3 5 3" xfId="13761"/>
    <cellStyle name="40% - akcent 5 3 2 2 2 3 6" xfId="13762"/>
    <cellStyle name="40% - akcent 5 3 2 2 2 3 7" xfId="13763"/>
    <cellStyle name="40% - akcent 5 3 2 2 2 4" xfId="13764"/>
    <cellStyle name="40% - akcent 5 3 2 2 2 4 2" xfId="13765"/>
    <cellStyle name="40% - akcent 5 3 2 2 2 4 2 2" xfId="13766"/>
    <cellStyle name="40% - akcent 5 3 2 2 2 4 2 3" xfId="13767"/>
    <cellStyle name="40% - akcent 5 3 2 2 2 4 3" xfId="13768"/>
    <cellStyle name="40% - akcent 5 3 2 2 2 4 4" xfId="13769"/>
    <cellStyle name="40% - akcent 5 3 2 2 2 5" xfId="13770"/>
    <cellStyle name="40% - akcent 5 3 2 2 2 5 2" xfId="13771"/>
    <cellStyle name="40% - akcent 5 3 2 2 2 5 2 2" xfId="13772"/>
    <cellStyle name="40% - akcent 5 3 2 2 2 5 2 3" xfId="13773"/>
    <cellStyle name="40% - akcent 5 3 2 2 2 5 3" xfId="13774"/>
    <cellStyle name="40% - akcent 5 3 2 2 2 5 4" xfId="13775"/>
    <cellStyle name="40% - akcent 5 3 2 2 2 6" xfId="13776"/>
    <cellStyle name="40% - akcent 5 3 2 2 2 6 2" xfId="13777"/>
    <cellStyle name="40% - akcent 5 3 2 2 2 6 2 2" xfId="13778"/>
    <cellStyle name="40% - akcent 5 3 2 2 2 6 2 3" xfId="13779"/>
    <cellStyle name="40% - akcent 5 3 2 2 2 6 3" xfId="13780"/>
    <cellStyle name="40% - akcent 5 3 2 2 2 6 4" xfId="13781"/>
    <cellStyle name="40% - akcent 5 3 2 2 2 7" xfId="13782"/>
    <cellStyle name="40% - akcent 5 3 2 2 2 7 2" xfId="13783"/>
    <cellStyle name="40% - akcent 5 3 2 2 2 7 3" xfId="13784"/>
    <cellStyle name="40% - akcent 5 3 2 2 2 8" xfId="13785"/>
    <cellStyle name="40% - akcent 5 3 2 2 2 9" xfId="13786"/>
    <cellStyle name="40% - akcent 5 3 2 2 3" xfId="13787"/>
    <cellStyle name="40% - akcent 5 3 2 2 3 2" xfId="13788"/>
    <cellStyle name="40% - akcent 5 3 2 2 3 2 2" xfId="13789"/>
    <cellStyle name="40% - akcent 5 3 2 2 3 2 2 2" xfId="13790"/>
    <cellStyle name="40% - akcent 5 3 2 2 3 2 2 3" xfId="13791"/>
    <cellStyle name="40% - akcent 5 3 2 2 3 2 3" xfId="13792"/>
    <cellStyle name="40% - akcent 5 3 2 2 3 2 4" xfId="13793"/>
    <cellStyle name="40% - akcent 5 3 2 2 3 3" xfId="13794"/>
    <cellStyle name="40% - akcent 5 3 2 2 3 3 2" xfId="13795"/>
    <cellStyle name="40% - akcent 5 3 2 2 3 3 2 2" xfId="13796"/>
    <cellStyle name="40% - akcent 5 3 2 2 3 3 2 3" xfId="13797"/>
    <cellStyle name="40% - akcent 5 3 2 2 3 3 3" xfId="13798"/>
    <cellStyle name="40% - akcent 5 3 2 2 3 3 4" xfId="13799"/>
    <cellStyle name="40% - akcent 5 3 2 2 3 4" xfId="13800"/>
    <cellStyle name="40% - akcent 5 3 2 2 3 4 2" xfId="13801"/>
    <cellStyle name="40% - akcent 5 3 2 2 3 4 2 2" xfId="13802"/>
    <cellStyle name="40% - akcent 5 3 2 2 3 4 2 3" xfId="13803"/>
    <cellStyle name="40% - akcent 5 3 2 2 3 4 3" xfId="13804"/>
    <cellStyle name="40% - akcent 5 3 2 2 3 4 4" xfId="13805"/>
    <cellStyle name="40% - akcent 5 3 2 2 3 5" xfId="13806"/>
    <cellStyle name="40% - akcent 5 3 2 2 3 5 2" xfId="13807"/>
    <cellStyle name="40% - akcent 5 3 2 2 3 5 3" xfId="13808"/>
    <cellStyle name="40% - akcent 5 3 2 2 3 6" xfId="13809"/>
    <cellStyle name="40% - akcent 5 3 2 2 3 7" xfId="13810"/>
    <cellStyle name="40% - akcent 5 3 2 2 4" xfId="13811"/>
    <cellStyle name="40% - akcent 5 3 2 2 4 2" xfId="13812"/>
    <cellStyle name="40% - akcent 5 3 2 2 4 2 2" xfId="13813"/>
    <cellStyle name="40% - akcent 5 3 2 2 4 2 2 2" xfId="13814"/>
    <cellStyle name="40% - akcent 5 3 2 2 4 2 2 3" xfId="13815"/>
    <cellStyle name="40% - akcent 5 3 2 2 4 2 3" xfId="13816"/>
    <cellStyle name="40% - akcent 5 3 2 2 4 2 4" xfId="13817"/>
    <cellStyle name="40% - akcent 5 3 2 2 4 3" xfId="13818"/>
    <cellStyle name="40% - akcent 5 3 2 2 4 3 2" xfId="13819"/>
    <cellStyle name="40% - akcent 5 3 2 2 4 3 2 2" xfId="13820"/>
    <cellStyle name="40% - akcent 5 3 2 2 4 3 2 3" xfId="13821"/>
    <cellStyle name="40% - akcent 5 3 2 2 4 3 3" xfId="13822"/>
    <cellStyle name="40% - akcent 5 3 2 2 4 3 4" xfId="13823"/>
    <cellStyle name="40% - akcent 5 3 2 2 4 4" xfId="13824"/>
    <cellStyle name="40% - akcent 5 3 2 2 4 4 2" xfId="13825"/>
    <cellStyle name="40% - akcent 5 3 2 2 4 4 2 2" xfId="13826"/>
    <cellStyle name="40% - akcent 5 3 2 2 4 4 2 3" xfId="13827"/>
    <cellStyle name="40% - akcent 5 3 2 2 4 4 3" xfId="13828"/>
    <cellStyle name="40% - akcent 5 3 2 2 4 4 4" xfId="13829"/>
    <cellStyle name="40% - akcent 5 3 2 2 4 5" xfId="13830"/>
    <cellStyle name="40% - akcent 5 3 2 2 4 5 2" xfId="13831"/>
    <cellStyle name="40% - akcent 5 3 2 2 4 5 3" xfId="13832"/>
    <cellStyle name="40% - akcent 5 3 2 2 4 6" xfId="13833"/>
    <cellStyle name="40% - akcent 5 3 2 2 4 7" xfId="13834"/>
    <cellStyle name="40% - akcent 5 3 2 2 5" xfId="13835"/>
    <cellStyle name="40% - akcent 5 3 2 2 5 2" xfId="13836"/>
    <cellStyle name="40% - akcent 5 3 2 2 5 2 2" xfId="13837"/>
    <cellStyle name="40% - akcent 5 3 2 2 5 2 2 2" xfId="13838"/>
    <cellStyle name="40% - akcent 5 3 2 2 5 2 2 3" xfId="13839"/>
    <cellStyle name="40% - akcent 5 3 2 2 5 2 3" xfId="13840"/>
    <cellStyle name="40% - akcent 5 3 2 2 5 2 4" xfId="13841"/>
    <cellStyle name="40% - akcent 5 3 2 2 5 3" xfId="13842"/>
    <cellStyle name="40% - akcent 5 3 2 2 5 3 2" xfId="13843"/>
    <cellStyle name="40% - akcent 5 3 2 2 5 3 3" xfId="13844"/>
    <cellStyle name="40% - akcent 5 3 2 2 5 4" xfId="13845"/>
    <cellStyle name="40% - akcent 5 3 2 2 5 5" xfId="13846"/>
    <cellStyle name="40% - akcent 5 3 2 2 6" xfId="13847"/>
    <cellStyle name="40% - akcent 5 3 2 2 6 2" xfId="13848"/>
    <cellStyle name="40% - akcent 5 3 2 2 6 2 2" xfId="13849"/>
    <cellStyle name="40% - akcent 5 3 2 2 6 2 3" xfId="13850"/>
    <cellStyle name="40% - akcent 5 3 2 2 6 3" xfId="13851"/>
    <cellStyle name="40% - akcent 5 3 2 2 6 4" xfId="13852"/>
    <cellStyle name="40% - akcent 5 3 2 2 7" xfId="13853"/>
    <cellStyle name="40% - akcent 5 3 2 2 7 2" xfId="13854"/>
    <cellStyle name="40% - akcent 5 3 2 2 7 2 2" xfId="13855"/>
    <cellStyle name="40% - akcent 5 3 2 2 7 2 3" xfId="13856"/>
    <cellStyle name="40% - akcent 5 3 2 2 7 3" xfId="13857"/>
    <cellStyle name="40% - akcent 5 3 2 2 7 4" xfId="13858"/>
    <cellStyle name="40% - akcent 5 3 2 2 8" xfId="13859"/>
    <cellStyle name="40% - akcent 5 3 2 2 8 2" xfId="13860"/>
    <cellStyle name="40% - akcent 5 3 2 2 8 2 2" xfId="13861"/>
    <cellStyle name="40% - akcent 5 3 2 2 8 2 3" xfId="13862"/>
    <cellStyle name="40% - akcent 5 3 2 2 8 3" xfId="13863"/>
    <cellStyle name="40% - akcent 5 3 2 2 8 4" xfId="13864"/>
    <cellStyle name="40% - akcent 5 3 2 2 9" xfId="13865"/>
    <cellStyle name="40% - akcent 5 3 2 2 9 2" xfId="13866"/>
    <cellStyle name="40% - akcent 5 3 2 2 9 3" xfId="13867"/>
    <cellStyle name="40% - akcent 5 3 2 3" xfId="13868"/>
    <cellStyle name="40% - akcent 5 3 2 3 10" xfId="13869"/>
    <cellStyle name="40% - akcent 5 3 2 3 2" xfId="13870"/>
    <cellStyle name="40% - akcent 5 3 2 3 2 2" xfId="13871"/>
    <cellStyle name="40% - akcent 5 3 2 3 2 2 2" xfId="13872"/>
    <cellStyle name="40% - akcent 5 3 2 3 2 2 2 2" xfId="13873"/>
    <cellStyle name="40% - akcent 5 3 2 3 2 2 2 3" xfId="13874"/>
    <cellStyle name="40% - akcent 5 3 2 3 2 2 3" xfId="13875"/>
    <cellStyle name="40% - akcent 5 3 2 3 2 2 4" xfId="13876"/>
    <cellStyle name="40% - akcent 5 3 2 3 2 3" xfId="13877"/>
    <cellStyle name="40% - akcent 5 3 2 3 2 3 2" xfId="13878"/>
    <cellStyle name="40% - akcent 5 3 2 3 2 3 2 2" xfId="13879"/>
    <cellStyle name="40% - akcent 5 3 2 3 2 3 2 3" xfId="13880"/>
    <cellStyle name="40% - akcent 5 3 2 3 2 3 3" xfId="13881"/>
    <cellStyle name="40% - akcent 5 3 2 3 2 3 4" xfId="13882"/>
    <cellStyle name="40% - akcent 5 3 2 3 2 4" xfId="13883"/>
    <cellStyle name="40% - akcent 5 3 2 3 2 4 2" xfId="13884"/>
    <cellStyle name="40% - akcent 5 3 2 3 2 4 2 2" xfId="13885"/>
    <cellStyle name="40% - akcent 5 3 2 3 2 4 2 3" xfId="13886"/>
    <cellStyle name="40% - akcent 5 3 2 3 2 4 3" xfId="13887"/>
    <cellStyle name="40% - akcent 5 3 2 3 2 4 4" xfId="13888"/>
    <cellStyle name="40% - akcent 5 3 2 3 2 5" xfId="13889"/>
    <cellStyle name="40% - akcent 5 3 2 3 2 5 2" xfId="13890"/>
    <cellStyle name="40% - akcent 5 3 2 3 2 5 3" xfId="13891"/>
    <cellStyle name="40% - akcent 5 3 2 3 2 6" xfId="13892"/>
    <cellStyle name="40% - akcent 5 3 2 3 2 7" xfId="13893"/>
    <cellStyle name="40% - akcent 5 3 2 3 3" xfId="13894"/>
    <cellStyle name="40% - akcent 5 3 2 3 3 2" xfId="13895"/>
    <cellStyle name="40% - akcent 5 3 2 3 3 2 2" xfId="13896"/>
    <cellStyle name="40% - akcent 5 3 2 3 3 2 2 2" xfId="13897"/>
    <cellStyle name="40% - akcent 5 3 2 3 3 2 2 3" xfId="13898"/>
    <cellStyle name="40% - akcent 5 3 2 3 3 2 3" xfId="13899"/>
    <cellStyle name="40% - akcent 5 3 2 3 3 2 4" xfId="13900"/>
    <cellStyle name="40% - akcent 5 3 2 3 3 3" xfId="13901"/>
    <cellStyle name="40% - akcent 5 3 2 3 3 3 2" xfId="13902"/>
    <cellStyle name="40% - akcent 5 3 2 3 3 3 2 2" xfId="13903"/>
    <cellStyle name="40% - akcent 5 3 2 3 3 3 2 3" xfId="13904"/>
    <cellStyle name="40% - akcent 5 3 2 3 3 3 3" xfId="13905"/>
    <cellStyle name="40% - akcent 5 3 2 3 3 3 4" xfId="13906"/>
    <cellStyle name="40% - akcent 5 3 2 3 3 4" xfId="13907"/>
    <cellStyle name="40% - akcent 5 3 2 3 3 4 2" xfId="13908"/>
    <cellStyle name="40% - akcent 5 3 2 3 3 4 2 2" xfId="13909"/>
    <cellStyle name="40% - akcent 5 3 2 3 3 4 2 3" xfId="13910"/>
    <cellStyle name="40% - akcent 5 3 2 3 3 4 3" xfId="13911"/>
    <cellStyle name="40% - akcent 5 3 2 3 3 4 4" xfId="13912"/>
    <cellStyle name="40% - akcent 5 3 2 3 3 5" xfId="13913"/>
    <cellStyle name="40% - akcent 5 3 2 3 3 5 2" xfId="13914"/>
    <cellStyle name="40% - akcent 5 3 2 3 3 5 3" xfId="13915"/>
    <cellStyle name="40% - akcent 5 3 2 3 3 6" xfId="13916"/>
    <cellStyle name="40% - akcent 5 3 2 3 3 7" xfId="13917"/>
    <cellStyle name="40% - akcent 5 3 2 3 4" xfId="13918"/>
    <cellStyle name="40% - akcent 5 3 2 3 4 2" xfId="13919"/>
    <cellStyle name="40% - akcent 5 3 2 3 4 2 2" xfId="13920"/>
    <cellStyle name="40% - akcent 5 3 2 3 4 2 2 2" xfId="13921"/>
    <cellStyle name="40% - akcent 5 3 2 3 4 2 2 3" xfId="13922"/>
    <cellStyle name="40% - akcent 5 3 2 3 4 2 3" xfId="13923"/>
    <cellStyle name="40% - akcent 5 3 2 3 4 2 4" xfId="13924"/>
    <cellStyle name="40% - akcent 5 3 2 3 4 3" xfId="13925"/>
    <cellStyle name="40% - akcent 5 3 2 3 4 3 2" xfId="13926"/>
    <cellStyle name="40% - akcent 5 3 2 3 4 3 3" xfId="13927"/>
    <cellStyle name="40% - akcent 5 3 2 3 4 4" xfId="13928"/>
    <cellStyle name="40% - akcent 5 3 2 3 4 5" xfId="13929"/>
    <cellStyle name="40% - akcent 5 3 2 3 5" xfId="13930"/>
    <cellStyle name="40% - akcent 5 3 2 3 5 2" xfId="13931"/>
    <cellStyle name="40% - akcent 5 3 2 3 5 2 2" xfId="13932"/>
    <cellStyle name="40% - akcent 5 3 2 3 5 2 3" xfId="13933"/>
    <cellStyle name="40% - akcent 5 3 2 3 5 3" xfId="13934"/>
    <cellStyle name="40% - akcent 5 3 2 3 5 4" xfId="13935"/>
    <cellStyle name="40% - akcent 5 3 2 3 6" xfId="13936"/>
    <cellStyle name="40% - akcent 5 3 2 3 6 2" xfId="13937"/>
    <cellStyle name="40% - akcent 5 3 2 3 6 2 2" xfId="13938"/>
    <cellStyle name="40% - akcent 5 3 2 3 6 2 3" xfId="13939"/>
    <cellStyle name="40% - akcent 5 3 2 3 6 3" xfId="13940"/>
    <cellStyle name="40% - akcent 5 3 2 3 6 4" xfId="13941"/>
    <cellStyle name="40% - akcent 5 3 2 3 7" xfId="13942"/>
    <cellStyle name="40% - akcent 5 3 2 3 7 2" xfId="13943"/>
    <cellStyle name="40% - akcent 5 3 2 3 7 2 2" xfId="13944"/>
    <cellStyle name="40% - akcent 5 3 2 3 7 2 3" xfId="13945"/>
    <cellStyle name="40% - akcent 5 3 2 3 7 3" xfId="13946"/>
    <cellStyle name="40% - akcent 5 3 2 3 7 4" xfId="13947"/>
    <cellStyle name="40% - akcent 5 3 2 3 8" xfId="13948"/>
    <cellStyle name="40% - akcent 5 3 2 3 8 2" xfId="13949"/>
    <cellStyle name="40% - akcent 5 3 2 3 8 3" xfId="13950"/>
    <cellStyle name="40% - akcent 5 3 2 3 9" xfId="13951"/>
    <cellStyle name="40% - akcent 5 3 2 4" xfId="13952"/>
    <cellStyle name="40% - akcent 5 3 2 4 2" xfId="13953"/>
    <cellStyle name="40% - akcent 5 3 2 4 2 2" xfId="13954"/>
    <cellStyle name="40% - akcent 5 3 2 4 2 2 2" xfId="13955"/>
    <cellStyle name="40% - akcent 5 3 2 4 2 2 2 2" xfId="13956"/>
    <cellStyle name="40% - akcent 5 3 2 4 2 2 2 3" xfId="13957"/>
    <cellStyle name="40% - akcent 5 3 2 4 2 2 3" xfId="13958"/>
    <cellStyle name="40% - akcent 5 3 2 4 2 2 4" xfId="13959"/>
    <cellStyle name="40% - akcent 5 3 2 4 2 3" xfId="13960"/>
    <cellStyle name="40% - akcent 5 3 2 4 2 3 2" xfId="13961"/>
    <cellStyle name="40% - akcent 5 3 2 4 2 3 2 2" xfId="13962"/>
    <cellStyle name="40% - akcent 5 3 2 4 2 3 2 3" xfId="13963"/>
    <cellStyle name="40% - akcent 5 3 2 4 2 3 3" xfId="13964"/>
    <cellStyle name="40% - akcent 5 3 2 4 2 3 4" xfId="13965"/>
    <cellStyle name="40% - akcent 5 3 2 4 2 4" xfId="13966"/>
    <cellStyle name="40% - akcent 5 3 2 4 2 4 2" xfId="13967"/>
    <cellStyle name="40% - akcent 5 3 2 4 2 4 2 2" xfId="13968"/>
    <cellStyle name="40% - akcent 5 3 2 4 2 4 2 3" xfId="13969"/>
    <cellStyle name="40% - akcent 5 3 2 4 2 4 3" xfId="13970"/>
    <cellStyle name="40% - akcent 5 3 2 4 2 4 4" xfId="13971"/>
    <cellStyle name="40% - akcent 5 3 2 4 2 5" xfId="13972"/>
    <cellStyle name="40% - akcent 5 3 2 4 2 5 2" xfId="13973"/>
    <cellStyle name="40% - akcent 5 3 2 4 2 5 3" xfId="13974"/>
    <cellStyle name="40% - akcent 5 3 2 4 2 6" xfId="13975"/>
    <cellStyle name="40% - akcent 5 3 2 4 2 7" xfId="13976"/>
    <cellStyle name="40% - akcent 5 3 2 4 3" xfId="13977"/>
    <cellStyle name="40% - akcent 5 3 2 4 3 2" xfId="13978"/>
    <cellStyle name="40% - akcent 5 3 2 4 3 2 2" xfId="13979"/>
    <cellStyle name="40% - akcent 5 3 2 4 3 2 2 2" xfId="13980"/>
    <cellStyle name="40% - akcent 5 3 2 4 3 2 2 3" xfId="13981"/>
    <cellStyle name="40% - akcent 5 3 2 4 3 2 3" xfId="13982"/>
    <cellStyle name="40% - akcent 5 3 2 4 3 2 4" xfId="13983"/>
    <cellStyle name="40% - akcent 5 3 2 4 3 3" xfId="13984"/>
    <cellStyle name="40% - akcent 5 3 2 4 3 3 2" xfId="13985"/>
    <cellStyle name="40% - akcent 5 3 2 4 3 3 2 2" xfId="13986"/>
    <cellStyle name="40% - akcent 5 3 2 4 3 3 2 3" xfId="13987"/>
    <cellStyle name="40% - akcent 5 3 2 4 3 3 3" xfId="13988"/>
    <cellStyle name="40% - akcent 5 3 2 4 3 3 4" xfId="13989"/>
    <cellStyle name="40% - akcent 5 3 2 4 3 4" xfId="13990"/>
    <cellStyle name="40% - akcent 5 3 2 4 3 4 2" xfId="13991"/>
    <cellStyle name="40% - akcent 5 3 2 4 3 4 2 2" xfId="13992"/>
    <cellStyle name="40% - akcent 5 3 2 4 3 4 2 3" xfId="13993"/>
    <cellStyle name="40% - akcent 5 3 2 4 3 4 3" xfId="13994"/>
    <cellStyle name="40% - akcent 5 3 2 4 3 4 4" xfId="13995"/>
    <cellStyle name="40% - akcent 5 3 2 4 3 5" xfId="13996"/>
    <cellStyle name="40% - akcent 5 3 2 4 3 5 2" xfId="13997"/>
    <cellStyle name="40% - akcent 5 3 2 4 3 5 3" xfId="13998"/>
    <cellStyle name="40% - akcent 5 3 2 4 3 6" xfId="13999"/>
    <cellStyle name="40% - akcent 5 3 2 4 3 7" xfId="14000"/>
    <cellStyle name="40% - akcent 5 3 2 4 4" xfId="14001"/>
    <cellStyle name="40% - akcent 5 3 2 4 4 2" xfId="14002"/>
    <cellStyle name="40% - akcent 5 3 2 4 4 2 2" xfId="14003"/>
    <cellStyle name="40% - akcent 5 3 2 4 4 2 3" xfId="14004"/>
    <cellStyle name="40% - akcent 5 3 2 4 4 3" xfId="14005"/>
    <cellStyle name="40% - akcent 5 3 2 4 4 4" xfId="14006"/>
    <cellStyle name="40% - akcent 5 3 2 4 5" xfId="14007"/>
    <cellStyle name="40% - akcent 5 3 2 4 5 2" xfId="14008"/>
    <cellStyle name="40% - akcent 5 3 2 4 5 2 2" xfId="14009"/>
    <cellStyle name="40% - akcent 5 3 2 4 5 2 3" xfId="14010"/>
    <cellStyle name="40% - akcent 5 3 2 4 5 3" xfId="14011"/>
    <cellStyle name="40% - akcent 5 3 2 4 5 4" xfId="14012"/>
    <cellStyle name="40% - akcent 5 3 2 4 6" xfId="14013"/>
    <cellStyle name="40% - akcent 5 3 2 4 6 2" xfId="14014"/>
    <cellStyle name="40% - akcent 5 3 2 4 6 2 2" xfId="14015"/>
    <cellStyle name="40% - akcent 5 3 2 4 6 2 3" xfId="14016"/>
    <cellStyle name="40% - akcent 5 3 2 4 6 3" xfId="14017"/>
    <cellStyle name="40% - akcent 5 3 2 4 6 4" xfId="14018"/>
    <cellStyle name="40% - akcent 5 3 2 4 7" xfId="14019"/>
    <cellStyle name="40% - akcent 5 3 2 4 7 2" xfId="14020"/>
    <cellStyle name="40% - akcent 5 3 2 4 7 3" xfId="14021"/>
    <cellStyle name="40% - akcent 5 3 2 4 8" xfId="14022"/>
    <cellStyle name="40% - akcent 5 3 2 4 9" xfId="14023"/>
    <cellStyle name="40% - akcent 5 3 2 5" xfId="14024"/>
    <cellStyle name="40% - akcent 5 3 2 5 2" xfId="14025"/>
    <cellStyle name="40% - akcent 5 3 2 5 2 2" xfId="14026"/>
    <cellStyle name="40% - akcent 5 3 2 5 2 2 2" xfId="14027"/>
    <cellStyle name="40% - akcent 5 3 2 5 2 2 3" xfId="14028"/>
    <cellStyle name="40% - akcent 5 3 2 5 2 3" xfId="14029"/>
    <cellStyle name="40% - akcent 5 3 2 5 2 4" xfId="14030"/>
    <cellStyle name="40% - akcent 5 3 2 5 3" xfId="14031"/>
    <cellStyle name="40% - akcent 5 3 2 5 3 2" xfId="14032"/>
    <cellStyle name="40% - akcent 5 3 2 5 3 2 2" xfId="14033"/>
    <cellStyle name="40% - akcent 5 3 2 5 3 2 3" xfId="14034"/>
    <cellStyle name="40% - akcent 5 3 2 5 3 3" xfId="14035"/>
    <cellStyle name="40% - akcent 5 3 2 5 3 4" xfId="14036"/>
    <cellStyle name="40% - akcent 5 3 2 5 4" xfId="14037"/>
    <cellStyle name="40% - akcent 5 3 2 5 4 2" xfId="14038"/>
    <cellStyle name="40% - akcent 5 3 2 5 4 2 2" xfId="14039"/>
    <cellStyle name="40% - akcent 5 3 2 5 4 2 3" xfId="14040"/>
    <cellStyle name="40% - akcent 5 3 2 5 4 3" xfId="14041"/>
    <cellStyle name="40% - akcent 5 3 2 5 4 4" xfId="14042"/>
    <cellStyle name="40% - akcent 5 3 2 5 5" xfId="14043"/>
    <cellStyle name="40% - akcent 5 3 2 5 5 2" xfId="14044"/>
    <cellStyle name="40% - akcent 5 3 2 5 5 3" xfId="14045"/>
    <cellStyle name="40% - akcent 5 3 2 5 6" xfId="14046"/>
    <cellStyle name="40% - akcent 5 3 2 5 7" xfId="14047"/>
    <cellStyle name="40% - akcent 5 3 2 6" xfId="14048"/>
    <cellStyle name="40% - akcent 5 3 2 6 2" xfId="14049"/>
    <cellStyle name="40% - akcent 5 3 2 6 2 2" xfId="14050"/>
    <cellStyle name="40% - akcent 5 3 2 6 2 2 2" xfId="14051"/>
    <cellStyle name="40% - akcent 5 3 2 6 2 2 3" xfId="14052"/>
    <cellStyle name="40% - akcent 5 3 2 6 2 3" xfId="14053"/>
    <cellStyle name="40% - akcent 5 3 2 6 2 4" xfId="14054"/>
    <cellStyle name="40% - akcent 5 3 2 6 3" xfId="14055"/>
    <cellStyle name="40% - akcent 5 3 2 6 3 2" xfId="14056"/>
    <cellStyle name="40% - akcent 5 3 2 6 3 2 2" xfId="14057"/>
    <cellStyle name="40% - akcent 5 3 2 6 3 2 3" xfId="14058"/>
    <cellStyle name="40% - akcent 5 3 2 6 3 3" xfId="14059"/>
    <cellStyle name="40% - akcent 5 3 2 6 3 4" xfId="14060"/>
    <cellStyle name="40% - akcent 5 3 2 6 4" xfId="14061"/>
    <cellStyle name="40% - akcent 5 3 2 6 4 2" xfId="14062"/>
    <cellStyle name="40% - akcent 5 3 2 6 4 2 2" xfId="14063"/>
    <cellStyle name="40% - akcent 5 3 2 6 4 2 3" xfId="14064"/>
    <cellStyle name="40% - akcent 5 3 2 6 4 3" xfId="14065"/>
    <cellStyle name="40% - akcent 5 3 2 6 4 4" xfId="14066"/>
    <cellStyle name="40% - akcent 5 3 2 6 5" xfId="14067"/>
    <cellStyle name="40% - akcent 5 3 2 6 5 2" xfId="14068"/>
    <cellStyle name="40% - akcent 5 3 2 6 5 3" xfId="14069"/>
    <cellStyle name="40% - akcent 5 3 2 6 6" xfId="14070"/>
    <cellStyle name="40% - akcent 5 3 2 6 7" xfId="14071"/>
    <cellStyle name="40% - akcent 5 3 2 7" xfId="14072"/>
    <cellStyle name="40% - akcent 5 3 2 7 2" xfId="14073"/>
    <cellStyle name="40% - akcent 5 3 2 7 2 2" xfId="14074"/>
    <cellStyle name="40% - akcent 5 3 2 7 2 2 2" xfId="14075"/>
    <cellStyle name="40% - akcent 5 3 2 7 2 2 3" xfId="14076"/>
    <cellStyle name="40% - akcent 5 3 2 7 2 3" xfId="14077"/>
    <cellStyle name="40% - akcent 5 3 2 7 2 4" xfId="14078"/>
    <cellStyle name="40% - akcent 5 3 2 7 3" xfId="14079"/>
    <cellStyle name="40% - akcent 5 3 2 7 3 2" xfId="14080"/>
    <cellStyle name="40% - akcent 5 3 2 7 3 3" xfId="14081"/>
    <cellStyle name="40% - akcent 5 3 2 7 4" xfId="14082"/>
    <cellStyle name="40% - akcent 5 3 2 7 5" xfId="14083"/>
    <cellStyle name="40% - akcent 5 3 2 8" xfId="14084"/>
    <cellStyle name="40% - akcent 5 3 2 8 2" xfId="14085"/>
    <cellStyle name="40% - akcent 5 3 2 8 2 2" xfId="14086"/>
    <cellStyle name="40% - akcent 5 3 2 8 2 3" xfId="14087"/>
    <cellStyle name="40% - akcent 5 3 2 8 3" xfId="14088"/>
    <cellStyle name="40% - akcent 5 3 2 8 4" xfId="14089"/>
    <cellStyle name="40% - akcent 5 3 2 9" xfId="14090"/>
    <cellStyle name="40% - akcent 5 3 2 9 2" xfId="14091"/>
    <cellStyle name="40% - akcent 5 3 2 9 2 2" xfId="14092"/>
    <cellStyle name="40% - akcent 5 3 2 9 2 3" xfId="14093"/>
    <cellStyle name="40% - akcent 5 3 2 9 3" xfId="14094"/>
    <cellStyle name="40% - akcent 5 3 2 9 4" xfId="14095"/>
    <cellStyle name="40% - akcent 5 3 3" xfId="14096"/>
    <cellStyle name="40% - akcent 5 3 3 10" xfId="14097"/>
    <cellStyle name="40% - akcent 5 3 3 11" xfId="14098"/>
    <cellStyle name="40% - akcent 5 3 3 2" xfId="14099"/>
    <cellStyle name="40% - akcent 5 3 3 2 10" xfId="14100"/>
    <cellStyle name="40% - akcent 5 3 3 2 2" xfId="14101"/>
    <cellStyle name="40% - akcent 5 3 3 2 2 2" xfId="14102"/>
    <cellStyle name="40% - akcent 5 3 3 2 2 2 2" xfId="14103"/>
    <cellStyle name="40% - akcent 5 3 3 2 2 2 2 2" xfId="14104"/>
    <cellStyle name="40% - akcent 5 3 3 2 2 2 2 3" xfId="14105"/>
    <cellStyle name="40% - akcent 5 3 3 2 2 2 3" xfId="14106"/>
    <cellStyle name="40% - akcent 5 3 3 2 2 2 4" xfId="14107"/>
    <cellStyle name="40% - akcent 5 3 3 2 2 3" xfId="14108"/>
    <cellStyle name="40% - akcent 5 3 3 2 2 3 2" xfId="14109"/>
    <cellStyle name="40% - akcent 5 3 3 2 2 3 2 2" xfId="14110"/>
    <cellStyle name="40% - akcent 5 3 3 2 2 3 2 3" xfId="14111"/>
    <cellStyle name="40% - akcent 5 3 3 2 2 3 3" xfId="14112"/>
    <cellStyle name="40% - akcent 5 3 3 2 2 3 4" xfId="14113"/>
    <cellStyle name="40% - akcent 5 3 3 2 2 4" xfId="14114"/>
    <cellStyle name="40% - akcent 5 3 3 2 2 4 2" xfId="14115"/>
    <cellStyle name="40% - akcent 5 3 3 2 2 4 2 2" xfId="14116"/>
    <cellStyle name="40% - akcent 5 3 3 2 2 4 2 3" xfId="14117"/>
    <cellStyle name="40% - akcent 5 3 3 2 2 4 3" xfId="14118"/>
    <cellStyle name="40% - akcent 5 3 3 2 2 4 4" xfId="14119"/>
    <cellStyle name="40% - akcent 5 3 3 2 2 5" xfId="14120"/>
    <cellStyle name="40% - akcent 5 3 3 2 2 5 2" xfId="14121"/>
    <cellStyle name="40% - akcent 5 3 3 2 2 5 3" xfId="14122"/>
    <cellStyle name="40% - akcent 5 3 3 2 2 6" xfId="14123"/>
    <cellStyle name="40% - akcent 5 3 3 2 2 7" xfId="14124"/>
    <cellStyle name="40% - akcent 5 3 3 2 3" xfId="14125"/>
    <cellStyle name="40% - akcent 5 3 3 2 3 2" xfId="14126"/>
    <cellStyle name="40% - akcent 5 3 3 2 3 2 2" xfId="14127"/>
    <cellStyle name="40% - akcent 5 3 3 2 3 2 2 2" xfId="14128"/>
    <cellStyle name="40% - akcent 5 3 3 2 3 2 2 3" xfId="14129"/>
    <cellStyle name="40% - akcent 5 3 3 2 3 2 3" xfId="14130"/>
    <cellStyle name="40% - akcent 5 3 3 2 3 2 4" xfId="14131"/>
    <cellStyle name="40% - akcent 5 3 3 2 3 3" xfId="14132"/>
    <cellStyle name="40% - akcent 5 3 3 2 3 3 2" xfId="14133"/>
    <cellStyle name="40% - akcent 5 3 3 2 3 3 2 2" xfId="14134"/>
    <cellStyle name="40% - akcent 5 3 3 2 3 3 2 3" xfId="14135"/>
    <cellStyle name="40% - akcent 5 3 3 2 3 3 3" xfId="14136"/>
    <cellStyle name="40% - akcent 5 3 3 2 3 3 4" xfId="14137"/>
    <cellStyle name="40% - akcent 5 3 3 2 3 4" xfId="14138"/>
    <cellStyle name="40% - akcent 5 3 3 2 3 4 2" xfId="14139"/>
    <cellStyle name="40% - akcent 5 3 3 2 3 4 2 2" xfId="14140"/>
    <cellStyle name="40% - akcent 5 3 3 2 3 4 2 3" xfId="14141"/>
    <cellStyle name="40% - akcent 5 3 3 2 3 4 3" xfId="14142"/>
    <cellStyle name="40% - akcent 5 3 3 2 3 4 4" xfId="14143"/>
    <cellStyle name="40% - akcent 5 3 3 2 3 5" xfId="14144"/>
    <cellStyle name="40% - akcent 5 3 3 2 3 5 2" xfId="14145"/>
    <cellStyle name="40% - akcent 5 3 3 2 3 5 3" xfId="14146"/>
    <cellStyle name="40% - akcent 5 3 3 2 3 6" xfId="14147"/>
    <cellStyle name="40% - akcent 5 3 3 2 3 7" xfId="14148"/>
    <cellStyle name="40% - akcent 5 3 3 2 4" xfId="14149"/>
    <cellStyle name="40% - akcent 5 3 3 2 4 2" xfId="14150"/>
    <cellStyle name="40% - akcent 5 3 3 2 4 2 2" xfId="14151"/>
    <cellStyle name="40% - akcent 5 3 3 2 4 2 2 2" xfId="14152"/>
    <cellStyle name="40% - akcent 5 3 3 2 4 2 2 3" xfId="14153"/>
    <cellStyle name="40% - akcent 5 3 3 2 4 2 3" xfId="14154"/>
    <cellStyle name="40% - akcent 5 3 3 2 4 2 4" xfId="14155"/>
    <cellStyle name="40% - akcent 5 3 3 2 4 3" xfId="14156"/>
    <cellStyle name="40% - akcent 5 3 3 2 4 3 2" xfId="14157"/>
    <cellStyle name="40% - akcent 5 3 3 2 4 3 3" xfId="14158"/>
    <cellStyle name="40% - akcent 5 3 3 2 4 4" xfId="14159"/>
    <cellStyle name="40% - akcent 5 3 3 2 4 5" xfId="14160"/>
    <cellStyle name="40% - akcent 5 3 3 2 5" xfId="14161"/>
    <cellStyle name="40% - akcent 5 3 3 2 5 2" xfId="14162"/>
    <cellStyle name="40% - akcent 5 3 3 2 5 2 2" xfId="14163"/>
    <cellStyle name="40% - akcent 5 3 3 2 5 2 3" xfId="14164"/>
    <cellStyle name="40% - akcent 5 3 3 2 5 3" xfId="14165"/>
    <cellStyle name="40% - akcent 5 3 3 2 5 4" xfId="14166"/>
    <cellStyle name="40% - akcent 5 3 3 2 6" xfId="14167"/>
    <cellStyle name="40% - akcent 5 3 3 2 6 2" xfId="14168"/>
    <cellStyle name="40% - akcent 5 3 3 2 6 2 2" xfId="14169"/>
    <cellStyle name="40% - akcent 5 3 3 2 6 2 3" xfId="14170"/>
    <cellStyle name="40% - akcent 5 3 3 2 6 3" xfId="14171"/>
    <cellStyle name="40% - akcent 5 3 3 2 6 4" xfId="14172"/>
    <cellStyle name="40% - akcent 5 3 3 2 7" xfId="14173"/>
    <cellStyle name="40% - akcent 5 3 3 2 7 2" xfId="14174"/>
    <cellStyle name="40% - akcent 5 3 3 2 7 2 2" xfId="14175"/>
    <cellStyle name="40% - akcent 5 3 3 2 7 2 3" xfId="14176"/>
    <cellStyle name="40% - akcent 5 3 3 2 7 3" xfId="14177"/>
    <cellStyle name="40% - akcent 5 3 3 2 7 4" xfId="14178"/>
    <cellStyle name="40% - akcent 5 3 3 2 8" xfId="14179"/>
    <cellStyle name="40% - akcent 5 3 3 2 8 2" xfId="14180"/>
    <cellStyle name="40% - akcent 5 3 3 2 8 3" xfId="14181"/>
    <cellStyle name="40% - akcent 5 3 3 2 9" xfId="14182"/>
    <cellStyle name="40% - akcent 5 3 3 3" xfId="14183"/>
    <cellStyle name="40% - akcent 5 3 3 3 2" xfId="14184"/>
    <cellStyle name="40% - akcent 5 3 3 3 2 2" xfId="14185"/>
    <cellStyle name="40% - akcent 5 3 3 3 2 2 2" xfId="14186"/>
    <cellStyle name="40% - akcent 5 3 3 3 2 2 3" xfId="14187"/>
    <cellStyle name="40% - akcent 5 3 3 3 2 3" xfId="14188"/>
    <cellStyle name="40% - akcent 5 3 3 3 2 4" xfId="14189"/>
    <cellStyle name="40% - akcent 5 3 3 3 3" xfId="14190"/>
    <cellStyle name="40% - akcent 5 3 3 3 3 2" xfId="14191"/>
    <cellStyle name="40% - akcent 5 3 3 3 3 2 2" xfId="14192"/>
    <cellStyle name="40% - akcent 5 3 3 3 3 2 3" xfId="14193"/>
    <cellStyle name="40% - akcent 5 3 3 3 3 3" xfId="14194"/>
    <cellStyle name="40% - akcent 5 3 3 3 3 4" xfId="14195"/>
    <cellStyle name="40% - akcent 5 3 3 3 4" xfId="14196"/>
    <cellStyle name="40% - akcent 5 3 3 3 4 2" xfId="14197"/>
    <cellStyle name="40% - akcent 5 3 3 3 4 2 2" xfId="14198"/>
    <cellStyle name="40% - akcent 5 3 3 3 4 2 3" xfId="14199"/>
    <cellStyle name="40% - akcent 5 3 3 3 4 3" xfId="14200"/>
    <cellStyle name="40% - akcent 5 3 3 3 4 4" xfId="14201"/>
    <cellStyle name="40% - akcent 5 3 3 3 5" xfId="14202"/>
    <cellStyle name="40% - akcent 5 3 3 3 5 2" xfId="14203"/>
    <cellStyle name="40% - akcent 5 3 3 3 5 3" xfId="14204"/>
    <cellStyle name="40% - akcent 5 3 3 3 6" xfId="14205"/>
    <cellStyle name="40% - akcent 5 3 3 3 7" xfId="14206"/>
    <cellStyle name="40% - akcent 5 3 3 4" xfId="14207"/>
    <cellStyle name="40% - akcent 5 3 3 4 2" xfId="14208"/>
    <cellStyle name="40% - akcent 5 3 3 4 2 2" xfId="14209"/>
    <cellStyle name="40% - akcent 5 3 3 4 2 2 2" xfId="14210"/>
    <cellStyle name="40% - akcent 5 3 3 4 2 2 3" xfId="14211"/>
    <cellStyle name="40% - akcent 5 3 3 4 2 3" xfId="14212"/>
    <cellStyle name="40% - akcent 5 3 3 4 2 4" xfId="14213"/>
    <cellStyle name="40% - akcent 5 3 3 4 3" xfId="14214"/>
    <cellStyle name="40% - akcent 5 3 3 4 3 2" xfId="14215"/>
    <cellStyle name="40% - akcent 5 3 3 4 3 2 2" xfId="14216"/>
    <cellStyle name="40% - akcent 5 3 3 4 3 2 3" xfId="14217"/>
    <cellStyle name="40% - akcent 5 3 3 4 3 3" xfId="14218"/>
    <cellStyle name="40% - akcent 5 3 3 4 3 4" xfId="14219"/>
    <cellStyle name="40% - akcent 5 3 3 4 4" xfId="14220"/>
    <cellStyle name="40% - akcent 5 3 3 4 4 2" xfId="14221"/>
    <cellStyle name="40% - akcent 5 3 3 4 4 2 2" xfId="14222"/>
    <cellStyle name="40% - akcent 5 3 3 4 4 2 3" xfId="14223"/>
    <cellStyle name="40% - akcent 5 3 3 4 4 3" xfId="14224"/>
    <cellStyle name="40% - akcent 5 3 3 4 4 4" xfId="14225"/>
    <cellStyle name="40% - akcent 5 3 3 4 5" xfId="14226"/>
    <cellStyle name="40% - akcent 5 3 3 4 5 2" xfId="14227"/>
    <cellStyle name="40% - akcent 5 3 3 4 5 3" xfId="14228"/>
    <cellStyle name="40% - akcent 5 3 3 4 6" xfId="14229"/>
    <cellStyle name="40% - akcent 5 3 3 4 7" xfId="14230"/>
    <cellStyle name="40% - akcent 5 3 3 5" xfId="14231"/>
    <cellStyle name="40% - akcent 5 3 3 5 2" xfId="14232"/>
    <cellStyle name="40% - akcent 5 3 3 5 2 2" xfId="14233"/>
    <cellStyle name="40% - akcent 5 3 3 5 2 2 2" xfId="14234"/>
    <cellStyle name="40% - akcent 5 3 3 5 2 2 3" xfId="14235"/>
    <cellStyle name="40% - akcent 5 3 3 5 2 3" xfId="14236"/>
    <cellStyle name="40% - akcent 5 3 3 5 2 4" xfId="14237"/>
    <cellStyle name="40% - akcent 5 3 3 5 3" xfId="14238"/>
    <cellStyle name="40% - akcent 5 3 3 5 3 2" xfId="14239"/>
    <cellStyle name="40% - akcent 5 3 3 5 3 3" xfId="14240"/>
    <cellStyle name="40% - akcent 5 3 3 5 4" xfId="14241"/>
    <cellStyle name="40% - akcent 5 3 3 5 5" xfId="14242"/>
    <cellStyle name="40% - akcent 5 3 3 6" xfId="14243"/>
    <cellStyle name="40% - akcent 5 3 3 6 2" xfId="14244"/>
    <cellStyle name="40% - akcent 5 3 3 6 2 2" xfId="14245"/>
    <cellStyle name="40% - akcent 5 3 3 6 2 3" xfId="14246"/>
    <cellStyle name="40% - akcent 5 3 3 6 3" xfId="14247"/>
    <cellStyle name="40% - akcent 5 3 3 6 4" xfId="14248"/>
    <cellStyle name="40% - akcent 5 3 3 7" xfId="14249"/>
    <cellStyle name="40% - akcent 5 3 3 7 2" xfId="14250"/>
    <cellStyle name="40% - akcent 5 3 3 7 2 2" xfId="14251"/>
    <cellStyle name="40% - akcent 5 3 3 7 2 3" xfId="14252"/>
    <cellStyle name="40% - akcent 5 3 3 7 3" xfId="14253"/>
    <cellStyle name="40% - akcent 5 3 3 7 4" xfId="14254"/>
    <cellStyle name="40% - akcent 5 3 3 8" xfId="14255"/>
    <cellStyle name="40% - akcent 5 3 3 8 2" xfId="14256"/>
    <cellStyle name="40% - akcent 5 3 3 8 2 2" xfId="14257"/>
    <cellStyle name="40% - akcent 5 3 3 8 2 3" xfId="14258"/>
    <cellStyle name="40% - akcent 5 3 3 8 3" xfId="14259"/>
    <cellStyle name="40% - akcent 5 3 3 8 4" xfId="14260"/>
    <cellStyle name="40% - akcent 5 3 3 9" xfId="14261"/>
    <cellStyle name="40% - akcent 5 3 3 9 2" xfId="14262"/>
    <cellStyle name="40% - akcent 5 3 3 9 3" xfId="14263"/>
    <cellStyle name="40% - akcent 5 3 4" xfId="14264"/>
    <cellStyle name="40% - akcent 5 3 4 10" xfId="14265"/>
    <cellStyle name="40% - akcent 5 3 4 2" xfId="14266"/>
    <cellStyle name="40% - akcent 5 3 4 2 2" xfId="14267"/>
    <cellStyle name="40% - akcent 5 3 4 2 2 2" xfId="14268"/>
    <cellStyle name="40% - akcent 5 3 4 2 2 2 2" xfId="14269"/>
    <cellStyle name="40% - akcent 5 3 4 2 2 2 3" xfId="14270"/>
    <cellStyle name="40% - akcent 5 3 4 2 2 3" xfId="14271"/>
    <cellStyle name="40% - akcent 5 3 4 2 2 4" xfId="14272"/>
    <cellStyle name="40% - akcent 5 3 4 2 3" xfId="14273"/>
    <cellStyle name="40% - akcent 5 3 4 2 3 2" xfId="14274"/>
    <cellStyle name="40% - akcent 5 3 4 2 3 2 2" xfId="14275"/>
    <cellStyle name="40% - akcent 5 3 4 2 3 2 3" xfId="14276"/>
    <cellStyle name="40% - akcent 5 3 4 2 3 3" xfId="14277"/>
    <cellStyle name="40% - akcent 5 3 4 2 3 4" xfId="14278"/>
    <cellStyle name="40% - akcent 5 3 4 2 4" xfId="14279"/>
    <cellStyle name="40% - akcent 5 3 4 2 4 2" xfId="14280"/>
    <cellStyle name="40% - akcent 5 3 4 2 4 2 2" xfId="14281"/>
    <cellStyle name="40% - akcent 5 3 4 2 4 2 3" xfId="14282"/>
    <cellStyle name="40% - akcent 5 3 4 2 4 3" xfId="14283"/>
    <cellStyle name="40% - akcent 5 3 4 2 4 4" xfId="14284"/>
    <cellStyle name="40% - akcent 5 3 4 2 5" xfId="14285"/>
    <cellStyle name="40% - akcent 5 3 4 2 5 2" xfId="14286"/>
    <cellStyle name="40% - akcent 5 3 4 2 5 3" xfId="14287"/>
    <cellStyle name="40% - akcent 5 3 4 2 6" xfId="14288"/>
    <cellStyle name="40% - akcent 5 3 4 2 7" xfId="14289"/>
    <cellStyle name="40% - akcent 5 3 4 3" xfId="14290"/>
    <cellStyle name="40% - akcent 5 3 4 3 2" xfId="14291"/>
    <cellStyle name="40% - akcent 5 3 4 3 2 2" xfId="14292"/>
    <cellStyle name="40% - akcent 5 3 4 3 2 2 2" xfId="14293"/>
    <cellStyle name="40% - akcent 5 3 4 3 2 2 3" xfId="14294"/>
    <cellStyle name="40% - akcent 5 3 4 3 2 3" xfId="14295"/>
    <cellStyle name="40% - akcent 5 3 4 3 2 4" xfId="14296"/>
    <cellStyle name="40% - akcent 5 3 4 3 3" xfId="14297"/>
    <cellStyle name="40% - akcent 5 3 4 3 3 2" xfId="14298"/>
    <cellStyle name="40% - akcent 5 3 4 3 3 2 2" xfId="14299"/>
    <cellStyle name="40% - akcent 5 3 4 3 3 2 3" xfId="14300"/>
    <cellStyle name="40% - akcent 5 3 4 3 3 3" xfId="14301"/>
    <cellStyle name="40% - akcent 5 3 4 3 3 4" xfId="14302"/>
    <cellStyle name="40% - akcent 5 3 4 3 4" xfId="14303"/>
    <cellStyle name="40% - akcent 5 3 4 3 4 2" xfId="14304"/>
    <cellStyle name="40% - akcent 5 3 4 3 4 2 2" xfId="14305"/>
    <cellStyle name="40% - akcent 5 3 4 3 4 2 3" xfId="14306"/>
    <cellStyle name="40% - akcent 5 3 4 3 4 3" xfId="14307"/>
    <cellStyle name="40% - akcent 5 3 4 3 4 4" xfId="14308"/>
    <cellStyle name="40% - akcent 5 3 4 3 5" xfId="14309"/>
    <cellStyle name="40% - akcent 5 3 4 3 5 2" xfId="14310"/>
    <cellStyle name="40% - akcent 5 3 4 3 5 3" xfId="14311"/>
    <cellStyle name="40% - akcent 5 3 4 3 6" xfId="14312"/>
    <cellStyle name="40% - akcent 5 3 4 3 7" xfId="14313"/>
    <cellStyle name="40% - akcent 5 3 4 4" xfId="14314"/>
    <cellStyle name="40% - akcent 5 3 4 4 2" xfId="14315"/>
    <cellStyle name="40% - akcent 5 3 4 4 2 2" xfId="14316"/>
    <cellStyle name="40% - akcent 5 3 4 4 2 2 2" xfId="14317"/>
    <cellStyle name="40% - akcent 5 3 4 4 2 2 3" xfId="14318"/>
    <cellStyle name="40% - akcent 5 3 4 4 2 3" xfId="14319"/>
    <cellStyle name="40% - akcent 5 3 4 4 2 4" xfId="14320"/>
    <cellStyle name="40% - akcent 5 3 4 4 3" xfId="14321"/>
    <cellStyle name="40% - akcent 5 3 4 4 3 2" xfId="14322"/>
    <cellStyle name="40% - akcent 5 3 4 4 3 3" xfId="14323"/>
    <cellStyle name="40% - akcent 5 3 4 4 4" xfId="14324"/>
    <cellStyle name="40% - akcent 5 3 4 4 5" xfId="14325"/>
    <cellStyle name="40% - akcent 5 3 4 5" xfId="14326"/>
    <cellStyle name="40% - akcent 5 3 4 5 2" xfId="14327"/>
    <cellStyle name="40% - akcent 5 3 4 5 2 2" xfId="14328"/>
    <cellStyle name="40% - akcent 5 3 4 5 2 3" xfId="14329"/>
    <cellStyle name="40% - akcent 5 3 4 5 3" xfId="14330"/>
    <cellStyle name="40% - akcent 5 3 4 5 4" xfId="14331"/>
    <cellStyle name="40% - akcent 5 3 4 6" xfId="14332"/>
    <cellStyle name="40% - akcent 5 3 4 6 2" xfId="14333"/>
    <cellStyle name="40% - akcent 5 3 4 6 2 2" xfId="14334"/>
    <cellStyle name="40% - akcent 5 3 4 6 2 3" xfId="14335"/>
    <cellStyle name="40% - akcent 5 3 4 6 3" xfId="14336"/>
    <cellStyle name="40% - akcent 5 3 4 6 4" xfId="14337"/>
    <cellStyle name="40% - akcent 5 3 4 7" xfId="14338"/>
    <cellStyle name="40% - akcent 5 3 4 7 2" xfId="14339"/>
    <cellStyle name="40% - akcent 5 3 4 7 2 2" xfId="14340"/>
    <cellStyle name="40% - akcent 5 3 4 7 2 3" xfId="14341"/>
    <cellStyle name="40% - akcent 5 3 4 7 3" xfId="14342"/>
    <cellStyle name="40% - akcent 5 3 4 7 4" xfId="14343"/>
    <cellStyle name="40% - akcent 5 3 4 8" xfId="14344"/>
    <cellStyle name="40% - akcent 5 3 4 8 2" xfId="14345"/>
    <cellStyle name="40% - akcent 5 3 4 8 3" xfId="14346"/>
    <cellStyle name="40% - akcent 5 3 4 9" xfId="14347"/>
    <cellStyle name="40% - akcent 5 3 5" xfId="14348"/>
    <cellStyle name="40% - akcent 5 3 5 2" xfId="14349"/>
    <cellStyle name="40% - akcent 5 3 5 2 2" xfId="14350"/>
    <cellStyle name="40% - akcent 5 3 5 2 2 2" xfId="14351"/>
    <cellStyle name="40% - akcent 5 3 5 2 2 2 2" xfId="14352"/>
    <cellStyle name="40% - akcent 5 3 5 2 2 2 3" xfId="14353"/>
    <cellStyle name="40% - akcent 5 3 5 2 2 3" xfId="14354"/>
    <cellStyle name="40% - akcent 5 3 5 2 2 4" xfId="14355"/>
    <cellStyle name="40% - akcent 5 3 5 2 3" xfId="14356"/>
    <cellStyle name="40% - akcent 5 3 5 2 3 2" xfId="14357"/>
    <cellStyle name="40% - akcent 5 3 5 2 3 2 2" xfId="14358"/>
    <cellStyle name="40% - akcent 5 3 5 2 3 2 3" xfId="14359"/>
    <cellStyle name="40% - akcent 5 3 5 2 3 3" xfId="14360"/>
    <cellStyle name="40% - akcent 5 3 5 2 3 4" xfId="14361"/>
    <cellStyle name="40% - akcent 5 3 5 2 4" xfId="14362"/>
    <cellStyle name="40% - akcent 5 3 5 2 4 2" xfId="14363"/>
    <cellStyle name="40% - akcent 5 3 5 2 4 2 2" xfId="14364"/>
    <cellStyle name="40% - akcent 5 3 5 2 4 2 3" xfId="14365"/>
    <cellStyle name="40% - akcent 5 3 5 2 4 3" xfId="14366"/>
    <cellStyle name="40% - akcent 5 3 5 2 4 4" xfId="14367"/>
    <cellStyle name="40% - akcent 5 3 5 2 5" xfId="14368"/>
    <cellStyle name="40% - akcent 5 3 5 2 5 2" xfId="14369"/>
    <cellStyle name="40% - akcent 5 3 5 2 5 3" xfId="14370"/>
    <cellStyle name="40% - akcent 5 3 5 2 6" xfId="14371"/>
    <cellStyle name="40% - akcent 5 3 5 2 7" xfId="14372"/>
    <cellStyle name="40% - akcent 5 3 5 3" xfId="14373"/>
    <cellStyle name="40% - akcent 5 3 5 3 2" xfId="14374"/>
    <cellStyle name="40% - akcent 5 3 5 3 2 2" xfId="14375"/>
    <cellStyle name="40% - akcent 5 3 5 3 2 2 2" xfId="14376"/>
    <cellStyle name="40% - akcent 5 3 5 3 2 2 3" xfId="14377"/>
    <cellStyle name="40% - akcent 5 3 5 3 2 3" xfId="14378"/>
    <cellStyle name="40% - akcent 5 3 5 3 2 4" xfId="14379"/>
    <cellStyle name="40% - akcent 5 3 5 3 3" xfId="14380"/>
    <cellStyle name="40% - akcent 5 3 5 3 3 2" xfId="14381"/>
    <cellStyle name="40% - akcent 5 3 5 3 3 2 2" xfId="14382"/>
    <cellStyle name="40% - akcent 5 3 5 3 3 2 3" xfId="14383"/>
    <cellStyle name="40% - akcent 5 3 5 3 3 3" xfId="14384"/>
    <cellStyle name="40% - akcent 5 3 5 3 3 4" xfId="14385"/>
    <cellStyle name="40% - akcent 5 3 5 3 4" xfId="14386"/>
    <cellStyle name="40% - akcent 5 3 5 3 4 2" xfId="14387"/>
    <cellStyle name="40% - akcent 5 3 5 3 4 2 2" xfId="14388"/>
    <cellStyle name="40% - akcent 5 3 5 3 4 2 3" xfId="14389"/>
    <cellStyle name="40% - akcent 5 3 5 3 4 3" xfId="14390"/>
    <cellStyle name="40% - akcent 5 3 5 3 4 4" xfId="14391"/>
    <cellStyle name="40% - akcent 5 3 5 3 5" xfId="14392"/>
    <cellStyle name="40% - akcent 5 3 5 3 5 2" xfId="14393"/>
    <cellStyle name="40% - akcent 5 3 5 3 5 3" xfId="14394"/>
    <cellStyle name="40% - akcent 5 3 5 3 6" xfId="14395"/>
    <cellStyle name="40% - akcent 5 3 5 3 7" xfId="14396"/>
    <cellStyle name="40% - akcent 5 3 5 4" xfId="14397"/>
    <cellStyle name="40% - akcent 5 3 5 4 2" xfId="14398"/>
    <cellStyle name="40% - akcent 5 3 5 4 2 2" xfId="14399"/>
    <cellStyle name="40% - akcent 5 3 5 4 2 3" xfId="14400"/>
    <cellStyle name="40% - akcent 5 3 5 4 3" xfId="14401"/>
    <cellStyle name="40% - akcent 5 3 5 4 4" xfId="14402"/>
    <cellStyle name="40% - akcent 5 3 5 5" xfId="14403"/>
    <cellStyle name="40% - akcent 5 3 5 5 2" xfId="14404"/>
    <cellStyle name="40% - akcent 5 3 5 5 2 2" xfId="14405"/>
    <cellStyle name="40% - akcent 5 3 5 5 2 3" xfId="14406"/>
    <cellStyle name="40% - akcent 5 3 5 5 3" xfId="14407"/>
    <cellStyle name="40% - akcent 5 3 5 5 4" xfId="14408"/>
    <cellStyle name="40% - akcent 5 3 5 6" xfId="14409"/>
    <cellStyle name="40% - akcent 5 3 5 6 2" xfId="14410"/>
    <cellStyle name="40% - akcent 5 3 5 6 2 2" xfId="14411"/>
    <cellStyle name="40% - akcent 5 3 5 6 2 3" xfId="14412"/>
    <cellStyle name="40% - akcent 5 3 5 6 3" xfId="14413"/>
    <cellStyle name="40% - akcent 5 3 5 6 4" xfId="14414"/>
    <cellStyle name="40% - akcent 5 3 5 7" xfId="14415"/>
    <cellStyle name="40% - akcent 5 3 5 7 2" xfId="14416"/>
    <cellStyle name="40% - akcent 5 3 5 7 3" xfId="14417"/>
    <cellStyle name="40% - akcent 5 3 5 8" xfId="14418"/>
    <cellStyle name="40% - akcent 5 3 5 9" xfId="14419"/>
    <cellStyle name="40% - akcent 5 3 6" xfId="14420"/>
    <cellStyle name="40% - akcent 5 3 6 2" xfId="14421"/>
    <cellStyle name="40% - akcent 5 3 6 2 2" xfId="14422"/>
    <cellStyle name="40% - akcent 5 3 6 2 2 2" xfId="14423"/>
    <cellStyle name="40% - akcent 5 3 6 2 2 2 2" xfId="14424"/>
    <cellStyle name="40% - akcent 5 3 6 2 2 2 3" xfId="14425"/>
    <cellStyle name="40% - akcent 5 3 6 2 2 3" xfId="14426"/>
    <cellStyle name="40% - akcent 5 3 6 2 2 4" xfId="14427"/>
    <cellStyle name="40% - akcent 5 3 6 2 3" xfId="14428"/>
    <cellStyle name="40% - akcent 5 3 6 2 3 2" xfId="14429"/>
    <cellStyle name="40% - akcent 5 3 6 2 3 2 2" xfId="14430"/>
    <cellStyle name="40% - akcent 5 3 6 2 3 2 3" xfId="14431"/>
    <cellStyle name="40% - akcent 5 3 6 2 3 3" xfId="14432"/>
    <cellStyle name="40% - akcent 5 3 6 2 3 4" xfId="14433"/>
    <cellStyle name="40% - akcent 5 3 6 2 4" xfId="14434"/>
    <cellStyle name="40% - akcent 5 3 6 2 4 2" xfId="14435"/>
    <cellStyle name="40% - akcent 5 3 6 2 4 2 2" xfId="14436"/>
    <cellStyle name="40% - akcent 5 3 6 2 4 2 3" xfId="14437"/>
    <cellStyle name="40% - akcent 5 3 6 2 4 3" xfId="14438"/>
    <cellStyle name="40% - akcent 5 3 6 2 4 4" xfId="14439"/>
    <cellStyle name="40% - akcent 5 3 6 2 5" xfId="14440"/>
    <cellStyle name="40% - akcent 5 3 6 2 5 2" xfId="14441"/>
    <cellStyle name="40% - akcent 5 3 6 2 5 3" xfId="14442"/>
    <cellStyle name="40% - akcent 5 3 6 2 6" xfId="14443"/>
    <cellStyle name="40% - akcent 5 3 6 2 7" xfId="14444"/>
    <cellStyle name="40% - akcent 5 3 6 3" xfId="14445"/>
    <cellStyle name="40% - akcent 5 3 6 3 2" xfId="14446"/>
    <cellStyle name="40% - akcent 5 3 6 3 2 2" xfId="14447"/>
    <cellStyle name="40% - akcent 5 3 6 3 2 2 2" xfId="14448"/>
    <cellStyle name="40% - akcent 5 3 6 3 2 2 3" xfId="14449"/>
    <cellStyle name="40% - akcent 5 3 6 3 2 3" xfId="14450"/>
    <cellStyle name="40% - akcent 5 3 6 3 2 4" xfId="14451"/>
    <cellStyle name="40% - akcent 5 3 6 3 3" xfId="14452"/>
    <cellStyle name="40% - akcent 5 3 6 3 3 2" xfId="14453"/>
    <cellStyle name="40% - akcent 5 3 6 3 3 2 2" xfId="14454"/>
    <cellStyle name="40% - akcent 5 3 6 3 3 2 3" xfId="14455"/>
    <cellStyle name="40% - akcent 5 3 6 3 3 3" xfId="14456"/>
    <cellStyle name="40% - akcent 5 3 6 3 3 4" xfId="14457"/>
    <cellStyle name="40% - akcent 5 3 6 3 4" xfId="14458"/>
    <cellStyle name="40% - akcent 5 3 6 3 4 2" xfId="14459"/>
    <cellStyle name="40% - akcent 5 3 6 3 4 2 2" xfId="14460"/>
    <cellStyle name="40% - akcent 5 3 6 3 4 2 3" xfId="14461"/>
    <cellStyle name="40% - akcent 5 3 6 3 4 3" xfId="14462"/>
    <cellStyle name="40% - akcent 5 3 6 3 4 4" xfId="14463"/>
    <cellStyle name="40% - akcent 5 3 6 3 5" xfId="14464"/>
    <cellStyle name="40% - akcent 5 3 6 3 5 2" xfId="14465"/>
    <cellStyle name="40% - akcent 5 3 6 3 5 3" xfId="14466"/>
    <cellStyle name="40% - akcent 5 3 6 3 6" xfId="14467"/>
    <cellStyle name="40% - akcent 5 3 6 3 7" xfId="14468"/>
    <cellStyle name="40% - akcent 5 3 6 4" xfId="14469"/>
    <cellStyle name="40% - akcent 5 3 6 4 2" xfId="14470"/>
    <cellStyle name="40% - akcent 5 3 6 4 2 2" xfId="14471"/>
    <cellStyle name="40% - akcent 5 3 6 4 2 3" xfId="14472"/>
    <cellStyle name="40% - akcent 5 3 6 4 3" xfId="14473"/>
    <cellStyle name="40% - akcent 5 3 6 4 4" xfId="14474"/>
    <cellStyle name="40% - akcent 5 3 6 5" xfId="14475"/>
    <cellStyle name="40% - akcent 5 3 6 5 2" xfId="14476"/>
    <cellStyle name="40% - akcent 5 3 6 5 2 2" xfId="14477"/>
    <cellStyle name="40% - akcent 5 3 6 5 2 3" xfId="14478"/>
    <cellStyle name="40% - akcent 5 3 6 5 3" xfId="14479"/>
    <cellStyle name="40% - akcent 5 3 6 5 4" xfId="14480"/>
    <cellStyle name="40% - akcent 5 3 6 6" xfId="14481"/>
    <cellStyle name="40% - akcent 5 3 6 6 2" xfId="14482"/>
    <cellStyle name="40% - akcent 5 3 6 6 2 2" xfId="14483"/>
    <cellStyle name="40% - akcent 5 3 6 6 2 3" xfId="14484"/>
    <cellStyle name="40% - akcent 5 3 6 6 3" xfId="14485"/>
    <cellStyle name="40% - akcent 5 3 6 6 4" xfId="14486"/>
    <cellStyle name="40% - akcent 5 3 6 7" xfId="14487"/>
    <cellStyle name="40% - akcent 5 3 6 7 2" xfId="14488"/>
    <cellStyle name="40% - akcent 5 3 6 7 3" xfId="14489"/>
    <cellStyle name="40% - akcent 5 3 6 8" xfId="14490"/>
    <cellStyle name="40% - akcent 5 3 6 9" xfId="14491"/>
    <cellStyle name="40% - akcent 5 3 7" xfId="14492"/>
    <cellStyle name="40% - akcent 5 3 7 2" xfId="14493"/>
    <cellStyle name="40% - akcent 5 3 7 2 2" xfId="14494"/>
    <cellStyle name="40% - akcent 5 3 7 2 2 2" xfId="14495"/>
    <cellStyle name="40% - akcent 5 3 7 2 2 2 2" xfId="14496"/>
    <cellStyle name="40% - akcent 5 3 7 2 2 2 3" xfId="14497"/>
    <cellStyle name="40% - akcent 5 3 7 2 2 3" xfId="14498"/>
    <cellStyle name="40% - akcent 5 3 7 2 2 4" xfId="14499"/>
    <cellStyle name="40% - akcent 5 3 7 2 3" xfId="14500"/>
    <cellStyle name="40% - akcent 5 3 7 2 3 2" xfId="14501"/>
    <cellStyle name="40% - akcent 5 3 7 2 3 2 2" xfId="14502"/>
    <cellStyle name="40% - akcent 5 3 7 2 3 2 3" xfId="14503"/>
    <cellStyle name="40% - akcent 5 3 7 2 3 3" xfId="14504"/>
    <cellStyle name="40% - akcent 5 3 7 2 3 4" xfId="14505"/>
    <cellStyle name="40% - akcent 5 3 7 2 4" xfId="14506"/>
    <cellStyle name="40% - akcent 5 3 7 2 4 2" xfId="14507"/>
    <cellStyle name="40% - akcent 5 3 7 2 4 2 2" xfId="14508"/>
    <cellStyle name="40% - akcent 5 3 7 2 4 2 3" xfId="14509"/>
    <cellStyle name="40% - akcent 5 3 7 2 4 3" xfId="14510"/>
    <cellStyle name="40% - akcent 5 3 7 2 4 4" xfId="14511"/>
    <cellStyle name="40% - akcent 5 3 7 2 5" xfId="14512"/>
    <cellStyle name="40% - akcent 5 3 7 2 5 2" xfId="14513"/>
    <cellStyle name="40% - akcent 5 3 7 2 5 3" xfId="14514"/>
    <cellStyle name="40% - akcent 5 3 7 2 6" xfId="14515"/>
    <cellStyle name="40% - akcent 5 3 7 2 7" xfId="14516"/>
    <cellStyle name="40% - akcent 5 3 7 3" xfId="14517"/>
    <cellStyle name="40% - akcent 5 3 7 3 2" xfId="14518"/>
    <cellStyle name="40% - akcent 5 3 7 3 2 2" xfId="14519"/>
    <cellStyle name="40% - akcent 5 3 7 3 2 3" xfId="14520"/>
    <cellStyle name="40% - akcent 5 3 7 3 3" xfId="14521"/>
    <cellStyle name="40% - akcent 5 3 7 3 4" xfId="14522"/>
    <cellStyle name="40% - akcent 5 3 7 4" xfId="14523"/>
    <cellStyle name="40% - akcent 5 3 7 4 2" xfId="14524"/>
    <cellStyle name="40% - akcent 5 3 7 4 2 2" xfId="14525"/>
    <cellStyle name="40% - akcent 5 3 7 4 2 3" xfId="14526"/>
    <cellStyle name="40% - akcent 5 3 7 4 3" xfId="14527"/>
    <cellStyle name="40% - akcent 5 3 7 4 4" xfId="14528"/>
    <cellStyle name="40% - akcent 5 3 7 5" xfId="14529"/>
    <cellStyle name="40% - akcent 5 3 7 5 2" xfId="14530"/>
    <cellStyle name="40% - akcent 5 3 7 5 2 2" xfId="14531"/>
    <cellStyle name="40% - akcent 5 3 7 5 2 3" xfId="14532"/>
    <cellStyle name="40% - akcent 5 3 7 5 3" xfId="14533"/>
    <cellStyle name="40% - akcent 5 3 7 5 4" xfId="14534"/>
    <cellStyle name="40% - akcent 5 3 7 6" xfId="14535"/>
    <cellStyle name="40% - akcent 5 3 7 6 2" xfId="14536"/>
    <cellStyle name="40% - akcent 5 3 7 6 3" xfId="14537"/>
    <cellStyle name="40% - akcent 5 3 7 7" xfId="14538"/>
    <cellStyle name="40% - akcent 5 3 7 8" xfId="14539"/>
    <cellStyle name="40% - akcent 5 3 8" xfId="14540"/>
    <cellStyle name="40% - akcent 5 3 8 2" xfId="14541"/>
    <cellStyle name="40% - akcent 5 3 8 2 2" xfId="14542"/>
    <cellStyle name="40% - akcent 5 3 8 2 2 2" xfId="14543"/>
    <cellStyle name="40% - akcent 5 3 8 2 2 2 2" xfId="14544"/>
    <cellStyle name="40% - akcent 5 3 8 2 2 2 3" xfId="14545"/>
    <cellStyle name="40% - akcent 5 3 8 2 2 3" xfId="14546"/>
    <cellStyle name="40% - akcent 5 3 8 2 2 4" xfId="14547"/>
    <cellStyle name="40% - akcent 5 3 8 2 3" xfId="14548"/>
    <cellStyle name="40% - akcent 5 3 8 2 3 2" xfId="14549"/>
    <cellStyle name="40% - akcent 5 3 8 2 3 2 2" xfId="14550"/>
    <cellStyle name="40% - akcent 5 3 8 2 3 2 3" xfId="14551"/>
    <cellStyle name="40% - akcent 5 3 8 2 3 3" xfId="14552"/>
    <cellStyle name="40% - akcent 5 3 8 2 3 4" xfId="14553"/>
    <cellStyle name="40% - akcent 5 3 8 2 4" xfId="14554"/>
    <cellStyle name="40% - akcent 5 3 8 2 4 2" xfId="14555"/>
    <cellStyle name="40% - akcent 5 3 8 2 4 2 2" xfId="14556"/>
    <cellStyle name="40% - akcent 5 3 8 2 4 2 3" xfId="14557"/>
    <cellStyle name="40% - akcent 5 3 8 2 4 3" xfId="14558"/>
    <cellStyle name="40% - akcent 5 3 8 2 4 4" xfId="14559"/>
    <cellStyle name="40% - akcent 5 3 8 2 5" xfId="14560"/>
    <cellStyle name="40% - akcent 5 3 8 2 5 2" xfId="14561"/>
    <cellStyle name="40% - akcent 5 3 8 2 5 3" xfId="14562"/>
    <cellStyle name="40% - akcent 5 3 8 2 6" xfId="14563"/>
    <cellStyle name="40% - akcent 5 3 8 2 7" xfId="14564"/>
    <cellStyle name="40% - akcent 5 3 8 3" xfId="14565"/>
    <cellStyle name="40% - akcent 5 3 8 3 2" xfId="14566"/>
    <cellStyle name="40% - akcent 5 3 8 3 2 2" xfId="14567"/>
    <cellStyle name="40% - akcent 5 3 8 3 2 3" xfId="14568"/>
    <cellStyle name="40% - akcent 5 3 8 3 3" xfId="14569"/>
    <cellStyle name="40% - akcent 5 3 8 3 4" xfId="14570"/>
    <cellStyle name="40% - akcent 5 3 8 4" xfId="14571"/>
    <cellStyle name="40% - akcent 5 3 8 4 2" xfId="14572"/>
    <cellStyle name="40% - akcent 5 3 8 4 2 2" xfId="14573"/>
    <cellStyle name="40% - akcent 5 3 8 4 2 3" xfId="14574"/>
    <cellStyle name="40% - akcent 5 3 8 4 3" xfId="14575"/>
    <cellStyle name="40% - akcent 5 3 8 4 4" xfId="14576"/>
    <cellStyle name="40% - akcent 5 3 8 5" xfId="14577"/>
    <cellStyle name="40% - akcent 5 3 8 5 2" xfId="14578"/>
    <cellStyle name="40% - akcent 5 3 8 5 2 2" xfId="14579"/>
    <cellStyle name="40% - akcent 5 3 8 5 2 3" xfId="14580"/>
    <cellStyle name="40% - akcent 5 3 8 5 3" xfId="14581"/>
    <cellStyle name="40% - akcent 5 3 8 5 4" xfId="14582"/>
    <cellStyle name="40% - akcent 5 3 8 6" xfId="14583"/>
    <cellStyle name="40% - akcent 5 3 8 6 2" xfId="14584"/>
    <cellStyle name="40% - akcent 5 3 8 6 3" xfId="14585"/>
    <cellStyle name="40% - akcent 5 3 8 7" xfId="14586"/>
    <cellStyle name="40% - akcent 5 3 8 8" xfId="14587"/>
    <cellStyle name="40% - akcent 5 3 9" xfId="14588"/>
    <cellStyle name="40% - akcent 5 3 9 2" xfId="14589"/>
    <cellStyle name="40% - akcent 5 3 9 2 2" xfId="14590"/>
    <cellStyle name="40% - akcent 5 3 9 2 2 2" xfId="14591"/>
    <cellStyle name="40% - akcent 5 3 9 2 2 3" xfId="14592"/>
    <cellStyle name="40% - akcent 5 3 9 2 3" xfId="14593"/>
    <cellStyle name="40% - akcent 5 3 9 2 4" xfId="14594"/>
    <cellStyle name="40% - akcent 5 3 9 3" xfId="14595"/>
    <cellStyle name="40% - akcent 5 3 9 3 2" xfId="14596"/>
    <cellStyle name="40% - akcent 5 3 9 3 2 2" xfId="14597"/>
    <cellStyle name="40% - akcent 5 3 9 3 2 3" xfId="14598"/>
    <cellStyle name="40% - akcent 5 3 9 3 3" xfId="14599"/>
    <cellStyle name="40% - akcent 5 3 9 3 4" xfId="14600"/>
    <cellStyle name="40% - akcent 5 3 9 4" xfId="14601"/>
    <cellStyle name="40% - akcent 5 3 9 4 2" xfId="14602"/>
    <cellStyle name="40% - akcent 5 3 9 4 2 2" xfId="14603"/>
    <cellStyle name="40% - akcent 5 3 9 4 2 3" xfId="14604"/>
    <cellStyle name="40% - akcent 5 3 9 4 3" xfId="14605"/>
    <cellStyle name="40% - akcent 5 3 9 4 4" xfId="14606"/>
    <cellStyle name="40% - akcent 5 3 9 5" xfId="14607"/>
    <cellStyle name="40% - akcent 5 3 9 5 2" xfId="14608"/>
    <cellStyle name="40% - akcent 5 3 9 5 3" xfId="14609"/>
    <cellStyle name="40% - akcent 5 3 9 6" xfId="14610"/>
    <cellStyle name="40% - akcent 5 3 9 7" xfId="14611"/>
    <cellStyle name="40% - akcent 5 4" xfId="14612"/>
    <cellStyle name="40% - akcent 5 5" xfId="14613"/>
    <cellStyle name="40% - akcent 5 6" xfId="14614"/>
    <cellStyle name="40% - akcent 6 2" xfId="14615"/>
    <cellStyle name="40% - akcent 6 2 2" xfId="14616"/>
    <cellStyle name="40% - akcent 6 2 3" xfId="14617"/>
    <cellStyle name="40% - akcent 6 2 4" xfId="14618"/>
    <cellStyle name="40% - akcent 6 3" xfId="14619"/>
    <cellStyle name="40% - akcent 6 3 10" xfId="14620"/>
    <cellStyle name="40% - akcent 6 3 10 2" xfId="14621"/>
    <cellStyle name="40% - akcent 6 3 10 2 2" xfId="14622"/>
    <cellStyle name="40% - akcent 6 3 10 2 2 2" xfId="14623"/>
    <cellStyle name="40% - akcent 6 3 10 2 2 3" xfId="14624"/>
    <cellStyle name="40% - akcent 6 3 10 2 3" xfId="14625"/>
    <cellStyle name="40% - akcent 6 3 10 2 4" xfId="14626"/>
    <cellStyle name="40% - akcent 6 3 10 3" xfId="14627"/>
    <cellStyle name="40% - akcent 6 3 10 3 2" xfId="14628"/>
    <cellStyle name="40% - akcent 6 3 10 3 3" xfId="14629"/>
    <cellStyle name="40% - akcent 6 3 10 4" xfId="14630"/>
    <cellStyle name="40% - akcent 6 3 10 5" xfId="14631"/>
    <cellStyle name="40% - akcent 6 3 11" xfId="14632"/>
    <cellStyle name="40% - akcent 6 3 11 2" xfId="14633"/>
    <cellStyle name="40% - akcent 6 3 11 2 2" xfId="14634"/>
    <cellStyle name="40% - akcent 6 3 11 2 3" xfId="14635"/>
    <cellStyle name="40% - akcent 6 3 11 3" xfId="14636"/>
    <cellStyle name="40% - akcent 6 3 11 4" xfId="14637"/>
    <cellStyle name="40% - akcent 6 3 12" xfId="14638"/>
    <cellStyle name="40% - akcent 6 3 12 2" xfId="14639"/>
    <cellStyle name="40% - akcent 6 3 12 2 2" xfId="14640"/>
    <cellStyle name="40% - akcent 6 3 12 2 3" xfId="14641"/>
    <cellStyle name="40% - akcent 6 3 12 3" xfId="14642"/>
    <cellStyle name="40% - akcent 6 3 12 4" xfId="14643"/>
    <cellStyle name="40% - akcent 6 3 13" xfId="14644"/>
    <cellStyle name="40% - akcent 6 3 13 2" xfId="14645"/>
    <cellStyle name="40% - akcent 6 3 13 2 2" xfId="14646"/>
    <cellStyle name="40% - akcent 6 3 13 2 3" xfId="14647"/>
    <cellStyle name="40% - akcent 6 3 13 3" xfId="14648"/>
    <cellStyle name="40% - akcent 6 3 13 4" xfId="14649"/>
    <cellStyle name="40% - akcent 6 3 14" xfId="14650"/>
    <cellStyle name="40% - akcent 6 3 14 2" xfId="14651"/>
    <cellStyle name="40% - akcent 6 3 14 3" xfId="14652"/>
    <cellStyle name="40% - akcent 6 3 15" xfId="14653"/>
    <cellStyle name="40% - akcent 6 3 15 2" xfId="14654"/>
    <cellStyle name="40% - akcent 6 3 15 3" xfId="14655"/>
    <cellStyle name="40% - akcent 6 3 16" xfId="14656"/>
    <cellStyle name="40% - akcent 6 3 17" xfId="14657"/>
    <cellStyle name="40% - akcent 6 3 18" xfId="14658"/>
    <cellStyle name="40% - akcent 6 3 2" xfId="14659"/>
    <cellStyle name="40% - akcent 6 3 2 10" xfId="14660"/>
    <cellStyle name="40% - akcent 6 3 2 10 2" xfId="14661"/>
    <cellStyle name="40% - akcent 6 3 2 10 2 2" xfId="14662"/>
    <cellStyle name="40% - akcent 6 3 2 10 2 3" xfId="14663"/>
    <cellStyle name="40% - akcent 6 3 2 10 3" xfId="14664"/>
    <cellStyle name="40% - akcent 6 3 2 10 4" xfId="14665"/>
    <cellStyle name="40% - akcent 6 3 2 11" xfId="14666"/>
    <cellStyle name="40% - akcent 6 3 2 11 2" xfId="14667"/>
    <cellStyle name="40% - akcent 6 3 2 11 3" xfId="14668"/>
    <cellStyle name="40% - akcent 6 3 2 12" xfId="14669"/>
    <cellStyle name="40% - akcent 6 3 2 12 2" xfId="14670"/>
    <cellStyle name="40% - akcent 6 3 2 12 3" xfId="14671"/>
    <cellStyle name="40% - akcent 6 3 2 13" xfId="14672"/>
    <cellStyle name="40% - akcent 6 3 2 14" xfId="14673"/>
    <cellStyle name="40% - akcent 6 3 2 15" xfId="14674"/>
    <cellStyle name="40% - akcent 6 3 2 2" xfId="14675"/>
    <cellStyle name="40% - akcent 6 3 2 2 10" xfId="14676"/>
    <cellStyle name="40% - akcent 6 3 2 2 11" xfId="14677"/>
    <cellStyle name="40% - akcent 6 3 2 2 2" xfId="14678"/>
    <cellStyle name="40% - akcent 6 3 2 2 2 2" xfId="14679"/>
    <cellStyle name="40% - akcent 6 3 2 2 2 2 2" xfId="14680"/>
    <cellStyle name="40% - akcent 6 3 2 2 2 2 2 2" xfId="14681"/>
    <cellStyle name="40% - akcent 6 3 2 2 2 2 2 2 2" xfId="14682"/>
    <cellStyle name="40% - akcent 6 3 2 2 2 2 2 2 3" xfId="14683"/>
    <cellStyle name="40% - akcent 6 3 2 2 2 2 2 3" xfId="14684"/>
    <cellStyle name="40% - akcent 6 3 2 2 2 2 2 4" xfId="14685"/>
    <cellStyle name="40% - akcent 6 3 2 2 2 2 3" xfId="14686"/>
    <cellStyle name="40% - akcent 6 3 2 2 2 2 3 2" xfId="14687"/>
    <cellStyle name="40% - akcent 6 3 2 2 2 2 3 2 2" xfId="14688"/>
    <cellStyle name="40% - akcent 6 3 2 2 2 2 3 2 3" xfId="14689"/>
    <cellStyle name="40% - akcent 6 3 2 2 2 2 3 3" xfId="14690"/>
    <cellStyle name="40% - akcent 6 3 2 2 2 2 3 4" xfId="14691"/>
    <cellStyle name="40% - akcent 6 3 2 2 2 2 4" xfId="14692"/>
    <cellStyle name="40% - akcent 6 3 2 2 2 2 4 2" xfId="14693"/>
    <cellStyle name="40% - akcent 6 3 2 2 2 2 4 2 2" xfId="14694"/>
    <cellStyle name="40% - akcent 6 3 2 2 2 2 4 2 3" xfId="14695"/>
    <cellStyle name="40% - akcent 6 3 2 2 2 2 4 3" xfId="14696"/>
    <cellStyle name="40% - akcent 6 3 2 2 2 2 4 4" xfId="14697"/>
    <cellStyle name="40% - akcent 6 3 2 2 2 2 5" xfId="14698"/>
    <cellStyle name="40% - akcent 6 3 2 2 2 2 5 2" xfId="14699"/>
    <cellStyle name="40% - akcent 6 3 2 2 2 2 5 3" xfId="14700"/>
    <cellStyle name="40% - akcent 6 3 2 2 2 2 6" xfId="14701"/>
    <cellStyle name="40% - akcent 6 3 2 2 2 2 7" xfId="14702"/>
    <cellStyle name="40% - akcent 6 3 2 2 2 3" xfId="14703"/>
    <cellStyle name="40% - akcent 6 3 2 2 2 3 2" xfId="14704"/>
    <cellStyle name="40% - akcent 6 3 2 2 2 3 2 2" xfId="14705"/>
    <cellStyle name="40% - akcent 6 3 2 2 2 3 2 2 2" xfId="14706"/>
    <cellStyle name="40% - akcent 6 3 2 2 2 3 2 2 3" xfId="14707"/>
    <cellStyle name="40% - akcent 6 3 2 2 2 3 2 3" xfId="14708"/>
    <cellStyle name="40% - akcent 6 3 2 2 2 3 2 4" xfId="14709"/>
    <cellStyle name="40% - akcent 6 3 2 2 2 3 3" xfId="14710"/>
    <cellStyle name="40% - akcent 6 3 2 2 2 3 3 2" xfId="14711"/>
    <cellStyle name="40% - akcent 6 3 2 2 2 3 3 2 2" xfId="14712"/>
    <cellStyle name="40% - akcent 6 3 2 2 2 3 3 2 3" xfId="14713"/>
    <cellStyle name="40% - akcent 6 3 2 2 2 3 3 3" xfId="14714"/>
    <cellStyle name="40% - akcent 6 3 2 2 2 3 3 4" xfId="14715"/>
    <cellStyle name="40% - akcent 6 3 2 2 2 3 4" xfId="14716"/>
    <cellStyle name="40% - akcent 6 3 2 2 2 3 4 2" xfId="14717"/>
    <cellStyle name="40% - akcent 6 3 2 2 2 3 4 2 2" xfId="14718"/>
    <cellStyle name="40% - akcent 6 3 2 2 2 3 4 2 3" xfId="14719"/>
    <cellStyle name="40% - akcent 6 3 2 2 2 3 4 3" xfId="14720"/>
    <cellStyle name="40% - akcent 6 3 2 2 2 3 4 4" xfId="14721"/>
    <cellStyle name="40% - akcent 6 3 2 2 2 3 5" xfId="14722"/>
    <cellStyle name="40% - akcent 6 3 2 2 2 3 5 2" xfId="14723"/>
    <cellStyle name="40% - akcent 6 3 2 2 2 3 5 3" xfId="14724"/>
    <cellStyle name="40% - akcent 6 3 2 2 2 3 6" xfId="14725"/>
    <cellStyle name="40% - akcent 6 3 2 2 2 3 7" xfId="14726"/>
    <cellStyle name="40% - akcent 6 3 2 2 2 4" xfId="14727"/>
    <cellStyle name="40% - akcent 6 3 2 2 2 4 2" xfId="14728"/>
    <cellStyle name="40% - akcent 6 3 2 2 2 4 2 2" xfId="14729"/>
    <cellStyle name="40% - akcent 6 3 2 2 2 4 2 3" xfId="14730"/>
    <cellStyle name="40% - akcent 6 3 2 2 2 4 3" xfId="14731"/>
    <cellStyle name="40% - akcent 6 3 2 2 2 4 4" xfId="14732"/>
    <cellStyle name="40% - akcent 6 3 2 2 2 5" xfId="14733"/>
    <cellStyle name="40% - akcent 6 3 2 2 2 5 2" xfId="14734"/>
    <cellStyle name="40% - akcent 6 3 2 2 2 5 2 2" xfId="14735"/>
    <cellStyle name="40% - akcent 6 3 2 2 2 5 2 3" xfId="14736"/>
    <cellStyle name="40% - akcent 6 3 2 2 2 5 3" xfId="14737"/>
    <cellStyle name="40% - akcent 6 3 2 2 2 5 4" xfId="14738"/>
    <cellStyle name="40% - akcent 6 3 2 2 2 6" xfId="14739"/>
    <cellStyle name="40% - akcent 6 3 2 2 2 6 2" xfId="14740"/>
    <cellStyle name="40% - akcent 6 3 2 2 2 6 2 2" xfId="14741"/>
    <cellStyle name="40% - akcent 6 3 2 2 2 6 2 3" xfId="14742"/>
    <cellStyle name="40% - akcent 6 3 2 2 2 6 3" xfId="14743"/>
    <cellStyle name="40% - akcent 6 3 2 2 2 6 4" xfId="14744"/>
    <cellStyle name="40% - akcent 6 3 2 2 2 7" xfId="14745"/>
    <cellStyle name="40% - akcent 6 3 2 2 2 7 2" xfId="14746"/>
    <cellStyle name="40% - akcent 6 3 2 2 2 7 3" xfId="14747"/>
    <cellStyle name="40% - akcent 6 3 2 2 2 8" xfId="14748"/>
    <cellStyle name="40% - akcent 6 3 2 2 2 9" xfId="14749"/>
    <cellStyle name="40% - akcent 6 3 2 2 3" xfId="14750"/>
    <cellStyle name="40% - akcent 6 3 2 2 3 2" xfId="14751"/>
    <cellStyle name="40% - akcent 6 3 2 2 3 2 2" xfId="14752"/>
    <cellStyle name="40% - akcent 6 3 2 2 3 2 2 2" xfId="14753"/>
    <cellStyle name="40% - akcent 6 3 2 2 3 2 2 3" xfId="14754"/>
    <cellStyle name="40% - akcent 6 3 2 2 3 2 3" xfId="14755"/>
    <cellStyle name="40% - akcent 6 3 2 2 3 2 4" xfId="14756"/>
    <cellStyle name="40% - akcent 6 3 2 2 3 3" xfId="14757"/>
    <cellStyle name="40% - akcent 6 3 2 2 3 3 2" xfId="14758"/>
    <cellStyle name="40% - akcent 6 3 2 2 3 3 2 2" xfId="14759"/>
    <cellStyle name="40% - akcent 6 3 2 2 3 3 2 3" xfId="14760"/>
    <cellStyle name="40% - akcent 6 3 2 2 3 3 3" xfId="14761"/>
    <cellStyle name="40% - akcent 6 3 2 2 3 3 4" xfId="14762"/>
    <cellStyle name="40% - akcent 6 3 2 2 3 4" xfId="14763"/>
    <cellStyle name="40% - akcent 6 3 2 2 3 4 2" xfId="14764"/>
    <cellStyle name="40% - akcent 6 3 2 2 3 4 2 2" xfId="14765"/>
    <cellStyle name="40% - akcent 6 3 2 2 3 4 2 3" xfId="14766"/>
    <cellStyle name="40% - akcent 6 3 2 2 3 4 3" xfId="14767"/>
    <cellStyle name="40% - akcent 6 3 2 2 3 4 4" xfId="14768"/>
    <cellStyle name="40% - akcent 6 3 2 2 3 5" xfId="14769"/>
    <cellStyle name="40% - akcent 6 3 2 2 3 5 2" xfId="14770"/>
    <cellStyle name="40% - akcent 6 3 2 2 3 5 3" xfId="14771"/>
    <cellStyle name="40% - akcent 6 3 2 2 3 6" xfId="14772"/>
    <cellStyle name="40% - akcent 6 3 2 2 3 7" xfId="14773"/>
    <cellStyle name="40% - akcent 6 3 2 2 4" xfId="14774"/>
    <cellStyle name="40% - akcent 6 3 2 2 4 2" xfId="14775"/>
    <cellStyle name="40% - akcent 6 3 2 2 4 2 2" xfId="14776"/>
    <cellStyle name="40% - akcent 6 3 2 2 4 2 2 2" xfId="14777"/>
    <cellStyle name="40% - akcent 6 3 2 2 4 2 2 3" xfId="14778"/>
    <cellStyle name="40% - akcent 6 3 2 2 4 2 3" xfId="14779"/>
    <cellStyle name="40% - akcent 6 3 2 2 4 2 4" xfId="14780"/>
    <cellStyle name="40% - akcent 6 3 2 2 4 3" xfId="14781"/>
    <cellStyle name="40% - akcent 6 3 2 2 4 3 2" xfId="14782"/>
    <cellStyle name="40% - akcent 6 3 2 2 4 3 2 2" xfId="14783"/>
    <cellStyle name="40% - akcent 6 3 2 2 4 3 2 3" xfId="14784"/>
    <cellStyle name="40% - akcent 6 3 2 2 4 3 3" xfId="14785"/>
    <cellStyle name="40% - akcent 6 3 2 2 4 3 4" xfId="14786"/>
    <cellStyle name="40% - akcent 6 3 2 2 4 4" xfId="14787"/>
    <cellStyle name="40% - akcent 6 3 2 2 4 4 2" xfId="14788"/>
    <cellStyle name="40% - akcent 6 3 2 2 4 4 2 2" xfId="14789"/>
    <cellStyle name="40% - akcent 6 3 2 2 4 4 2 3" xfId="14790"/>
    <cellStyle name="40% - akcent 6 3 2 2 4 4 3" xfId="14791"/>
    <cellStyle name="40% - akcent 6 3 2 2 4 4 4" xfId="14792"/>
    <cellStyle name="40% - akcent 6 3 2 2 4 5" xfId="14793"/>
    <cellStyle name="40% - akcent 6 3 2 2 4 5 2" xfId="14794"/>
    <cellStyle name="40% - akcent 6 3 2 2 4 5 3" xfId="14795"/>
    <cellStyle name="40% - akcent 6 3 2 2 4 6" xfId="14796"/>
    <cellStyle name="40% - akcent 6 3 2 2 4 7" xfId="14797"/>
    <cellStyle name="40% - akcent 6 3 2 2 5" xfId="14798"/>
    <cellStyle name="40% - akcent 6 3 2 2 5 2" xfId="14799"/>
    <cellStyle name="40% - akcent 6 3 2 2 5 2 2" xfId="14800"/>
    <cellStyle name="40% - akcent 6 3 2 2 5 2 2 2" xfId="14801"/>
    <cellStyle name="40% - akcent 6 3 2 2 5 2 2 3" xfId="14802"/>
    <cellStyle name="40% - akcent 6 3 2 2 5 2 3" xfId="14803"/>
    <cellStyle name="40% - akcent 6 3 2 2 5 2 4" xfId="14804"/>
    <cellStyle name="40% - akcent 6 3 2 2 5 3" xfId="14805"/>
    <cellStyle name="40% - akcent 6 3 2 2 5 3 2" xfId="14806"/>
    <cellStyle name="40% - akcent 6 3 2 2 5 3 3" xfId="14807"/>
    <cellStyle name="40% - akcent 6 3 2 2 5 4" xfId="14808"/>
    <cellStyle name="40% - akcent 6 3 2 2 5 5" xfId="14809"/>
    <cellStyle name="40% - akcent 6 3 2 2 6" xfId="14810"/>
    <cellStyle name="40% - akcent 6 3 2 2 6 2" xfId="14811"/>
    <cellStyle name="40% - akcent 6 3 2 2 6 2 2" xfId="14812"/>
    <cellStyle name="40% - akcent 6 3 2 2 6 2 3" xfId="14813"/>
    <cellStyle name="40% - akcent 6 3 2 2 6 3" xfId="14814"/>
    <cellStyle name="40% - akcent 6 3 2 2 6 4" xfId="14815"/>
    <cellStyle name="40% - akcent 6 3 2 2 7" xfId="14816"/>
    <cellStyle name="40% - akcent 6 3 2 2 7 2" xfId="14817"/>
    <cellStyle name="40% - akcent 6 3 2 2 7 2 2" xfId="14818"/>
    <cellStyle name="40% - akcent 6 3 2 2 7 2 3" xfId="14819"/>
    <cellStyle name="40% - akcent 6 3 2 2 7 3" xfId="14820"/>
    <cellStyle name="40% - akcent 6 3 2 2 7 4" xfId="14821"/>
    <cellStyle name="40% - akcent 6 3 2 2 8" xfId="14822"/>
    <cellStyle name="40% - akcent 6 3 2 2 8 2" xfId="14823"/>
    <cellStyle name="40% - akcent 6 3 2 2 8 2 2" xfId="14824"/>
    <cellStyle name="40% - akcent 6 3 2 2 8 2 3" xfId="14825"/>
    <cellStyle name="40% - akcent 6 3 2 2 8 3" xfId="14826"/>
    <cellStyle name="40% - akcent 6 3 2 2 8 4" xfId="14827"/>
    <cellStyle name="40% - akcent 6 3 2 2 9" xfId="14828"/>
    <cellStyle name="40% - akcent 6 3 2 2 9 2" xfId="14829"/>
    <cellStyle name="40% - akcent 6 3 2 2 9 3" xfId="14830"/>
    <cellStyle name="40% - akcent 6 3 2 3" xfId="14831"/>
    <cellStyle name="40% - akcent 6 3 2 3 10" xfId="14832"/>
    <cellStyle name="40% - akcent 6 3 2 3 2" xfId="14833"/>
    <cellStyle name="40% - akcent 6 3 2 3 2 2" xfId="14834"/>
    <cellStyle name="40% - akcent 6 3 2 3 2 2 2" xfId="14835"/>
    <cellStyle name="40% - akcent 6 3 2 3 2 2 2 2" xfId="14836"/>
    <cellStyle name="40% - akcent 6 3 2 3 2 2 2 3" xfId="14837"/>
    <cellStyle name="40% - akcent 6 3 2 3 2 2 3" xfId="14838"/>
    <cellStyle name="40% - akcent 6 3 2 3 2 2 4" xfId="14839"/>
    <cellStyle name="40% - akcent 6 3 2 3 2 3" xfId="14840"/>
    <cellStyle name="40% - akcent 6 3 2 3 2 3 2" xfId="14841"/>
    <cellStyle name="40% - akcent 6 3 2 3 2 3 2 2" xfId="14842"/>
    <cellStyle name="40% - akcent 6 3 2 3 2 3 2 3" xfId="14843"/>
    <cellStyle name="40% - akcent 6 3 2 3 2 3 3" xfId="14844"/>
    <cellStyle name="40% - akcent 6 3 2 3 2 3 4" xfId="14845"/>
    <cellStyle name="40% - akcent 6 3 2 3 2 4" xfId="14846"/>
    <cellStyle name="40% - akcent 6 3 2 3 2 4 2" xfId="14847"/>
    <cellStyle name="40% - akcent 6 3 2 3 2 4 2 2" xfId="14848"/>
    <cellStyle name="40% - akcent 6 3 2 3 2 4 2 3" xfId="14849"/>
    <cellStyle name="40% - akcent 6 3 2 3 2 4 3" xfId="14850"/>
    <cellStyle name="40% - akcent 6 3 2 3 2 4 4" xfId="14851"/>
    <cellStyle name="40% - akcent 6 3 2 3 2 5" xfId="14852"/>
    <cellStyle name="40% - akcent 6 3 2 3 2 5 2" xfId="14853"/>
    <cellStyle name="40% - akcent 6 3 2 3 2 5 3" xfId="14854"/>
    <cellStyle name="40% - akcent 6 3 2 3 2 6" xfId="14855"/>
    <cellStyle name="40% - akcent 6 3 2 3 2 7" xfId="14856"/>
    <cellStyle name="40% - akcent 6 3 2 3 3" xfId="14857"/>
    <cellStyle name="40% - akcent 6 3 2 3 3 2" xfId="14858"/>
    <cellStyle name="40% - akcent 6 3 2 3 3 2 2" xfId="14859"/>
    <cellStyle name="40% - akcent 6 3 2 3 3 2 2 2" xfId="14860"/>
    <cellStyle name="40% - akcent 6 3 2 3 3 2 2 3" xfId="14861"/>
    <cellStyle name="40% - akcent 6 3 2 3 3 2 3" xfId="14862"/>
    <cellStyle name="40% - akcent 6 3 2 3 3 2 4" xfId="14863"/>
    <cellStyle name="40% - akcent 6 3 2 3 3 3" xfId="14864"/>
    <cellStyle name="40% - akcent 6 3 2 3 3 3 2" xfId="14865"/>
    <cellStyle name="40% - akcent 6 3 2 3 3 3 2 2" xfId="14866"/>
    <cellStyle name="40% - akcent 6 3 2 3 3 3 2 3" xfId="14867"/>
    <cellStyle name="40% - akcent 6 3 2 3 3 3 3" xfId="14868"/>
    <cellStyle name="40% - akcent 6 3 2 3 3 3 4" xfId="14869"/>
    <cellStyle name="40% - akcent 6 3 2 3 3 4" xfId="14870"/>
    <cellStyle name="40% - akcent 6 3 2 3 3 4 2" xfId="14871"/>
    <cellStyle name="40% - akcent 6 3 2 3 3 4 2 2" xfId="14872"/>
    <cellStyle name="40% - akcent 6 3 2 3 3 4 2 3" xfId="14873"/>
    <cellStyle name="40% - akcent 6 3 2 3 3 4 3" xfId="14874"/>
    <cellStyle name="40% - akcent 6 3 2 3 3 4 4" xfId="14875"/>
    <cellStyle name="40% - akcent 6 3 2 3 3 5" xfId="14876"/>
    <cellStyle name="40% - akcent 6 3 2 3 3 5 2" xfId="14877"/>
    <cellStyle name="40% - akcent 6 3 2 3 3 5 3" xfId="14878"/>
    <cellStyle name="40% - akcent 6 3 2 3 3 6" xfId="14879"/>
    <cellStyle name="40% - akcent 6 3 2 3 3 7" xfId="14880"/>
    <cellStyle name="40% - akcent 6 3 2 3 4" xfId="14881"/>
    <cellStyle name="40% - akcent 6 3 2 3 4 2" xfId="14882"/>
    <cellStyle name="40% - akcent 6 3 2 3 4 2 2" xfId="14883"/>
    <cellStyle name="40% - akcent 6 3 2 3 4 2 2 2" xfId="14884"/>
    <cellStyle name="40% - akcent 6 3 2 3 4 2 2 3" xfId="14885"/>
    <cellStyle name="40% - akcent 6 3 2 3 4 2 3" xfId="14886"/>
    <cellStyle name="40% - akcent 6 3 2 3 4 2 4" xfId="14887"/>
    <cellStyle name="40% - akcent 6 3 2 3 4 3" xfId="14888"/>
    <cellStyle name="40% - akcent 6 3 2 3 4 3 2" xfId="14889"/>
    <cellStyle name="40% - akcent 6 3 2 3 4 3 3" xfId="14890"/>
    <cellStyle name="40% - akcent 6 3 2 3 4 4" xfId="14891"/>
    <cellStyle name="40% - akcent 6 3 2 3 4 5" xfId="14892"/>
    <cellStyle name="40% - akcent 6 3 2 3 5" xfId="14893"/>
    <cellStyle name="40% - akcent 6 3 2 3 5 2" xfId="14894"/>
    <cellStyle name="40% - akcent 6 3 2 3 5 2 2" xfId="14895"/>
    <cellStyle name="40% - akcent 6 3 2 3 5 2 3" xfId="14896"/>
    <cellStyle name="40% - akcent 6 3 2 3 5 3" xfId="14897"/>
    <cellStyle name="40% - akcent 6 3 2 3 5 4" xfId="14898"/>
    <cellStyle name="40% - akcent 6 3 2 3 6" xfId="14899"/>
    <cellStyle name="40% - akcent 6 3 2 3 6 2" xfId="14900"/>
    <cellStyle name="40% - akcent 6 3 2 3 6 2 2" xfId="14901"/>
    <cellStyle name="40% - akcent 6 3 2 3 6 2 3" xfId="14902"/>
    <cellStyle name="40% - akcent 6 3 2 3 6 3" xfId="14903"/>
    <cellStyle name="40% - akcent 6 3 2 3 6 4" xfId="14904"/>
    <cellStyle name="40% - akcent 6 3 2 3 7" xfId="14905"/>
    <cellStyle name="40% - akcent 6 3 2 3 7 2" xfId="14906"/>
    <cellStyle name="40% - akcent 6 3 2 3 7 2 2" xfId="14907"/>
    <cellStyle name="40% - akcent 6 3 2 3 7 2 3" xfId="14908"/>
    <cellStyle name="40% - akcent 6 3 2 3 7 3" xfId="14909"/>
    <cellStyle name="40% - akcent 6 3 2 3 7 4" xfId="14910"/>
    <cellStyle name="40% - akcent 6 3 2 3 8" xfId="14911"/>
    <cellStyle name="40% - akcent 6 3 2 3 8 2" xfId="14912"/>
    <cellStyle name="40% - akcent 6 3 2 3 8 3" xfId="14913"/>
    <cellStyle name="40% - akcent 6 3 2 3 9" xfId="14914"/>
    <cellStyle name="40% - akcent 6 3 2 4" xfId="14915"/>
    <cellStyle name="40% - akcent 6 3 2 4 2" xfId="14916"/>
    <cellStyle name="40% - akcent 6 3 2 4 2 2" xfId="14917"/>
    <cellStyle name="40% - akcent 6 3 2 4 2 2 2" xfId="14918"/>
    <cellStyle name="40% - akcent 6 3 2 4 2 2 2 2" xfId="14919"/>
    <cellStyle name="40% - akcent 6 3 2 4 2 2 2 3" xfId="14920"/>
    <cellStyle name="40% - akcent 6 3 2 4 2 2 3" xfId="14921"/>
    <cellStyle name="40% - akcent 6 3 2 4 2 2 4" xfId="14922"/>
    <cellStyle name="40% - akcent 6 3 2 4 2 3" xfId="14923"/>
    <cellStyle name="40% - akcent 6 3 2 4 2 3 2" xfId="14924"/>
    <cellStyle name="40% - akcent 6 3 2 4 2 3 2 2" xfId="14925"/>
    <cellStyle name="40% - akcent 6 3 2 4 2 3 2 3" xfId="14926"/>
    <cellStyle name="40% - akcent 6 3 2 4 2 3 3" xfId="14927"/>
    <cellStyle name="40% - akcent 6 3 2 4 2 3 4" xfId="14928"/>
    <cellStyle name="40% - akcent 6 3 2 4 2 4" xfId="14929"/>
    <cellStyle name="40% - akcent 6 3 2 4 2 4 2" xfId="14930"/>
    <cellStyle name="40% - akcent 6 3 2 4 2 4 2 2" xfId="14931"/>
    <cellStyle name="40% - akcent 6 3 2 4 2 4 2 3" xfId="14932"/>
    <cellStyle name="40% - akcent 6 3 2 4 2 4 3" xfId="14933"/>
    <cellStyle name="40% - akcent 6 3 2 4 2 4 4" xfId="14934"/>
    <cellStyle name="40% - akcent 6 3 2 4 2 5" xfId="14935"/>
    <cellStyle name="40% - akcent 6 3 2 4 2 5 2" xfId="14936"/>
    <cellStyle name="40% - akcent 6 3 2 4 2 5 3" xfId="14937"/>
    <cellStyle name="40% - akcent 6 3 2 4 2 6" xfId="14938"/>
    <cellStyle name="40% - akcent 6 3 2 4 2 7" xfId="14939"/>
    <cellStyle name="40% - akcent 6 3 2 4 3" xfId="14940"/>
    <cellStyle name="40% - akcent 6 3 2 4 3 2" xfId="14941"/>
    <cellStyle name="40% - akcent 6 3 2 4 3 2 2" xfId="14942"/>
    <cellStyle name="40% - akcent 6 3 2 4 3 2 2 2" xfId="14943"/>
    <cellStyle name="40% - akcent 6 3 2 4 3 2 2 3" xfId="14944"/>
    <cellStyle name="40% - akcent 6 3 2 4 3 2 3" xfId="14945"/>
    <cellStyle name="40% - akcent 6 3 2 4 3 2 4" xfId="14946"/>
    <cellStyle name="40% - akcent 6 3 2 4 3 3" xfId="14947"/>
    <cellStyle name="40% - akcent 6 3 2 4 3 3 2" xfId="14948"/>
    <cellStyle name="40% - akcent 6 3 2 4 3 3 2 2" xfId="14949"/>
    <cellStyle name="40% - akcent 6 3 2 4 3 3 2 3" xfId="14950"/>
    <cellStyle name="40% - akcent 6 3 2 4 3 3 3" xfId="14951"/>
    <cellStyle name="40% - akcent 6 3 2 4 3 3 4" xfId="14952"/>
    <cellStyle name="40% - akcent 6 3 2 4 3 4" xfId="14953"/>
    <cellStyle name="40% - akcent 6 3 2 4 3 4 2" xfId="14954"/>
    <cellStyle name="40% - akcent 6 3 2 4 3 4 2 2" xfId="14955"/>
    <cellStyle name="40% - akcent 6 3 2 4 3 4 2 3" xfId="14956"/>
    <cellStyle name="40% - akcent 6 3 2 4 3 4 3" xfId="14957"/>
    <cellStyle name="40% - akcent 6 3 2 4 3 4 4" xfId="14958"/>
    <cellStyle name="40% - akcent 6 3 2 4 3 5" xfId="14959"/>
    <cellStyle name="40% - akcent 6 3 2 4 3 5 2" xfId="14960"/>
    <cellStyle name="40% - akcent 6 3 2 4 3 5 3" xfId="14961"/>
    <cellStyle name="40% - akcent 6 3 2 4 3 6" xfId="14962"/>
    <cellStyle name="40% - akcent 6 3 2 4 3 7" xfId="14963"/>
    <cellStyle name="40% - akcent 6 3 2 4 4" xfId="14964"/>
    <cellStyle name="40% - akcent 6 3 2 4 4 2" xfId="14965"/>
    <cellStyle name="40% - akcent 6 3 2 4 4 2 2" xfId="14966"/>
    <cellStyle name="40% - akcent 6 3 2 4 4 2 3" xfId="14967"/>
    <cellStyle name="40% - akcent 6 3 2 4 4 3" xfId="14968"/>
    <cellStyle name="40% - akcent 6 3 2 4 4 4" xfId="14969"/>
    <cellStyle name="40% - akcent 6 3 2 4 5" xfId="14970"/>
    <cellStyle name="40% - akcent 6 3 2 4 5 2" xfId="14971"/>
    <cellStyle name="40% - akcent 6 3 2 4 5 2 2" xfId="14972"/>
    <cellStyle name="40% - akcent 6 3 2 4 5 2 3" xfId="14973"/>
    <cellStyle name="40% - akcent 6 3 2 4 5 3" xfId="14974"/>
    <cellStyle name="40% - akcent 6 3 2 4 5 4" xfId="14975"/>
    <cellStyle name="40% - akcent 6 3 2 4 6" xfId="14976"/>
    <cellStyle name="40% - akcent 6 3 2 4 6 2" xfId="14977"/>
    <cellStyle name="40% - akcent 6 3 2 4 6 2 2" xfId="14978"/>
    <cellStyle name="40% - akcent 6 3 2 4 6 2 3" xfId="14979"/>
    <cellStyle name="40% - akcent 6 3 2 4 6 3" xfId="14980"/>
    <cellStyle name="40% - akcent 6 3 2 4 6 4" xfId="14981"/>
    <cellStyle name="40% - akcent 6 3 2 4 7" xfId="14982"/>
    <cellStyle name="40% - akcent 6 3 2 4 7 2" xfId="14983"/>
    <cellStyle name="40% - akcent 6 3 2 4 7 3" xfId="14984"/>
    <cellStyle name="40% - akcent 6 3 2 4 8" xfId="14985"/>
    <cellStyle name="40% - akcent 6 3 2 4 9" xfId="14986"/>
    <cellStyle name="40% - akcent 6 3 2 5" xfId="14987"/>
    <cellStyle name="40% - akcent 6 3 2 5 2" xfId="14988"/>
    <cellStyle name="40% - akcent 6 3 2 5 2 2" xfId="14989"/>
    <cellStyle name="40% - akcent 6 3 2 5 2 2 2" xfId="14990"/>
    <cellStyle name="40% - akcent 6 3 2 5 2 2 3" xfId="14991"/>
    <cellStyle name="40% - akcent 6 3 2 5 2 3" xfId="14992"/>
    <cellStyle name="40% - akcent 6 3 2 5 2 4" xfId="14993"/>
    <cellStyle name="40% - akcent 6 3 2 5 3" xfId="14994"/>
    <cellStyle name="40% - akcent 6 3 2 5 3 2" xfId="14995"/>
    <cellStyle name="40% - akcent 6 3 2 5 3 2 2" xfId="14996"/>
    <cellStyle name="40% - akcent 6 3 2 5 3 2 3" xfId="14997"/>
    <cellStyle name="40% - akcent 6 3 2 5 3 3" xfId="14998"/>
    <cellStyle name="40% - akcent 6 3 2 5 3 4" xfId="14999"/>
    <cellStyle name="40% - akcent 6 3 2 5 4" xfId="15000"/>
    <cellStyle name="40% - akcent 6 3 2 5 4 2" xfId="15001"/>
    <cellStyle name="40% - akcent 6 3 2 5 4 2 2" xfId="15002"/>
    <cellStyle name="40% - akcent 6 3 2 5 4 2 3" xfId="15003"/>
    <cellStyle name="40% - akcent 6 3 2 5 4 3" xfId="15004"/>
    <cellStyle name="40% - akcent 6 3 2 5 4 4" xfId="15005"/>
    <cellStyle name="40% - akcent 6 3 2 5 5" xfId="15006"/>
    <cellStyle name="40% - akcent 6 3 2 5 5 2" xfId="15007"/>
    <cellStyle name="40% - akcent 6 3 2 5 5 3" xfId="15008"/>
    <cellStyle name="40% - akcent 6 3 2 5 6" xfId="15009"/>
    <cellStyle name="40% - akcent 6 3 2 5 7" xfId="15010"/>
    <cellStyle name="40% - akcent 6 3 2 6" xfId="15011"/>
    <cellStyle name="40% - akcent 6 3 2 6 2" xfId="15012"/>
    <cellStyle name="40% - akcent 6 3 2 6 2 2" xfId="15013"/>
    <cellStyle name="40% - akcent 6 3 2 6 2 2 2" xfId="15014"/>
    <cellStyle name="40% - akcent 6 3 2 6 2 2 3" xfId="15015"/>
    <cellStyle name="40% - akcent 6 3 2 6 2 3" xfId="15016"/>
    <cellStyle name="40% - akcent 6 3 2 6 2 4" xfId="15017"/>
    <cellStyle name="40% - akcent 6 3 2 6 3" xfId="15018"/>
    <cellStyle name="40% - akcent 6 3 2 6 3 2" xfId="15019"/>
    <cellStyle name="40% - akcent 6 3 2 6 3 2 2" xfId="15020"/>
    <cellStyle name="40% - akcent 6 3 2 6 3 2 3" xfId="15021"/>
    <cellStyle name="40% - akcent 6 3 2 6 3 3" xfId="15022"/>
    <cellStyle name="40% - akcent 6 3 2 6 3 4" xfId="15023"/>
    <cellStyle name="40% - akcent 6 3 2 6 4" xfId="15024"/>
    <cellStyle name="40% - akcent 6 3 2 6 4 2" xfId="15025"/>
    <cellStyle name="40% - akcent 6 3 2 6 4 2 2" xfId="15026"/>
    <cellStyle name="40% - akcent 6 3 2 6 4 2 3" xfId="15027"/>
    <cellStyle name="40% - akcent 6 3 2 6 4 3" xfId="15028"/>
    <cellStyle name="40% - akcent 6 3 2 6 4 4" xfId="15029"/>
    <cellStyle name="40% - akcent 6 3 2 6 5" xfId="15030"/>
    <cellStyle name="40% - akcent 6 3 2 6 5 2" xfId="15031"/>
    <cellStyle name="40% - akcent 6 3 2 6 5 3" xfId="15032"/>
    <cellStyle name="40% - akcent 6 3 2 6 6" xfId="15033"/>
    <cellStyle name="40% - akcent 6 3 2 6 7" xfId="15034"/>
    <cellStyle name="40% - akcent 6 3 2 7" xfId="15035"/>
    <cellStyle name="40% - akcent 6 3 2 7 2" xfId="15036"/>
    <cellStyle name="40% - akcent 6 3 2 7 2 2" xfId="15037"/>
    <cellStyle name="40% - akcent 6 3 2 7 2 2 2" xfId="15038"/>
    <cellStyle name="40% - akcent 6 3 2 7 2 2 3" xfId="15039"/>
    <cellStyle name="40% - akcent 6 3 2 7 2 3" xfId="15040"/>
    <cellStyle name="40% - akcent 6 3 2 7 2 4" xfId="15041"/>
    <cellStyle name="40% - akcent 6 3 2 7 3" xfId="15042"/>
    <cellStyle name="40% - akcent 6 3 2 7 3 2" xfId="15043"/>
    <cellStyle name="40% - akcent 6 3 2 7 3 3" xfId="15044"/>
    <cellStyle name="40% - akcent 6 3 2 7 4" xfId="15045"/>
    <cellStyle name="40% - akcent 6 3 2 7 5" xfId="15046"/>
    <cellStyle name="40% - akcent 6 3 2 8" xfId="15047"/>
    <cellStyle name="40% - akcent 6 3 2 8 2" xfId="15048"/>
    <cellStyle name="40% - akcent 6 3 2 8 2 2" xfId="15049"/>
    <cellStyle name="40% - akcent 6 3 2 8 2 3" xfId="15050"/>
    <cellStyle name="40% - akcent 6 3 2 8 3" xfId="15051"/>
    <cellStyle name="40% - akcent 6 3 2 8 4" xfId="15052"/>
    <cellStyle name="40% - akcent 6 3 2 9" xfId="15053"/>
    <cellStyle name="40% - akcent 6 3 2 9 2" xfId="15054"/>
    <cellStyle name="40% - akcent 6 3 2 9 2 2" xfId="15055"/>
    <cellStyle name="40% - akcent 6 3 2 9 2 3" xfId="15056"/>
    <cellStyle name="40% - akcent 6 3 2 9 3" xfId="15057"/>
    <cellStyle name="40% - akcent 6 3 2 9 4" xfId="15058"/>
    <cellStyle name="40% - akcent 6 3 3" xfId="15059"/>
    <cellStyle name="40% - akcent 6 3 3 10" xfId="15060"/>
    <cellStyle name="40% - akcent 6 3 3 11" xfId="15061"/>
    <cellStyle name="40% - akcent 6 3 3 2" xfId="15062"/>
    <cellStyle name="40% - akcent 6 3 3 2 10" xfId="15063"/>
    <cellStyle name="40% - akcent 6 3 3 2 2" xfId="15064"/>
    <cellStyle name="40% - akcent 6 3 3 2 2 2" xfId="15065"/>
    <cellStyle name="40% - akcent 6 3 3 2 2 2 2" xfId="15066"/>
    <cellStyle name="40% - akcent 6 3 3 2 2 2 2 2" xfId="15067"/>
    <cellStyle name="40% - akcent 6 3 3 2 2 2 2 3" xfId="15068"/>
    <cellStyle name="40% - akcent 6 3 3 2 2 2 3" xfId="15069"/>
    <cellStyle name="40% - akcent 6 3 3 2 2 2 4" xfId="15070"/>
    <cellStyle name="40% - akcent 6 3 3 2 2 3" xfId="15071"/>
    <cellStyle name="40% - akcent 6 3 3 2 2 3 2" xfId="15072"/>
    <cellStyle name="40% - akcent 6 3 3 2 2 3 2 2" xfId="15073"/>
    <cellStyle name="40% - akcent 6 3 3 2 2 3 2 3" xfId="15074"/>
    <cellStyle name="40% - akcent 6 3 3 2 2 3 3" xfId="15075"/>
    <cellStyle name="40% - akcent 6 3 3 2 2 3 4" xfId="15076"/>
    <cellStyle name="40% - akcent 6 3 3 2 2 4" xfId="15077"/>
    <cellStyle name="40% - akcent 6 3 3 2 2 4 2" xfId="15078"/>
    <cellStyle name="40% - akcent 6 3 3 2 2 4 2 2" xfId="15079"/>
    <cellStyle name="40% - akcent 6 3 3 2 2 4 2 3" xfId="15080"/>
    <cellStyle name="40% - akcent 6 3 3 2 2 4 3" xfId="15081"/>
    <cellStyle name="40% - akcent 6 3 3 2 2 4 4" xfId="15082"/>
    <cellStyle name="40% - akcent 6 3 3 2 2 5" xfId="15083"/>
    <cellStyle name="40% - akcent 6 3 3 2 2 5 2" xfId="15084"/>
    <cellStyle name="40% - akcent 6 3 3 2 2 5 3" xfId="15085"/>
    <cellStyle name="40% - akcent 6 3 3 2 2 6" xfId="15086"/>
    <cellStyle name="40% - akcent 6 3 3 2 2 7" xfId="15087"/>
    <cellStyle name="40% - akcent 6 3 3 2 3" xfId="15088"/>
    <cellStyle name="40% - akcent 6 3 3 2 3 2" xfId="15089"/>
    <cellStyle name="40% - akcent 6 3 3 2 3 2 2" xfId="15090"/>
    <cellStyle name="40% - akcent 6 3 3 2 3 2 2 2" xfId="15091"/>
    <cellStyle name="40% - akcent 6 3 3 2 3 2 2 3" xfId="15092"/>
    <cellStyle name="40% - akcent 6 3 3 2 3 2 3" xfId="15093"/>
    <cellStyle name="40% - akcent 6 3 3 2 3 2 4" xfId="15094"/>
    <cellStyle name="40% - akcent 6 3 3 2 3 3" xfId="15095"/>
    <cellStyle name="40% - akcent 6 3 3 2 3 3 2" xfId="15096"/>
    <cellStyle name="40% - akcent 6 3 3 2 3 3 2 2" xfId="15097"/>
    <cellStyle name="40% - akcent 6 3 3 2 3 3 2 3" xfId="15098"/>
    <cellStyle name="40% - akcent 6 3 3 2 3 3 3" xfId="15099"/>
    <cellStyle name="40% - akcent 6 3 3 2 3 3 4" xfId="15100"/>
    <cellStyle name="40% - akcent 6 3 3 2 3 4" xfId="15101"/>
    <cellStyle name="40% - akcent 6 3 3 2 3 4 2" xfId="15102"/>
    <cellStyle name="40% - akcent 6 3 3 2 3 4 2 2" xfId="15103"/>
    <cellStyle name="40% - akcent 6 3 3 2 3 4 2 3" xfId="15104"/>
    <cellStyle name="40% - akcent 6 3 3 2 3 4 3" xfId="15105"/>
    <cellStyle name="40% - akcent 6 3 3 2 3 4 4" xfId="15106"/>
    <cellStyle name="40% - akcent 6 3 3 2 3 5" xfId="15107"/>
    <cellStyle name="40% - akcent 6 3 3 2 3 5 2" xfId="15108"/>
    <cellStyle name="40% - akcent 6 3 3 2 3 5 3" xfId="15109"/>
    <cellStyle name="40% - akcent 6 3 3 2 3 6" xfId="15110"/>
    <cellStyle name="40% - akcent 6 3 3 2 3 7" xfId="15111"/>
    <cellStyle name="40% - akcent 6 3 3 2 4" xfId="15112"/>
    <cellStyle name="40% - akcent 6 3 3 2 4 2" xfId="15113"/>
    <cellStyle name="40% - akcent 6 3 3 2 4 2 2" xfId="15114"/>
    <cellStyle name="40% - akcent 6 3 3 2 4 2 2 2" xfId="15115"/>
    <cellStyle name="40% - akcent 6 3 3 2 4 2 2 3" xfId="15116"/>
    <cellStyle name="40% - akcent 6 3 3 2 4 2 3" xfId="15117"/>
    <cellStyle name="40% - akcent 6 3 3 2 4 2 4" xfId="15118"/>
    <cellStyle name="40% - akcent 6 3 3 2 4 3" xfId="15119"/>
    <cellStyle name="40% - akcent 6 3 3 2 4 3 2" xfId="15120"/>
    <cellStyle name="40% - akcent 6 3 3 2 4 3 3" xfId="15121"/>
    <cellStyle name="40% - akcent 6 3 3 2 4 4" xfId="15122"/>
    <cellStyle name="40% - akcent 6 3 3 2 4 5" xfId="15123"/>
    <cellStyle name="40% - akcent 6 3 3 2 5" xfId="15124"/>
    <cellStyle name="40% - akcent 6 3 3 2 5 2" xfId="15125"/>
    <cellStyle name="40% - akcent 6 3 3 2 5 2 2" xfId="15126"/>
    <cellStyle name="40% - akcent 6 3 3 2 5 2 3" xfId="15127"/>
    <cellStyle name="40% - akcent 6 3 3 2 5 3" xfId="15128"/>
    <cellStyle name="40% - akcent 6 3 3 2 5 4" xfId="15129"/>
    <cellStyle name="40% - akcent 6 3 3 2 6" xfId="15130"/>
    <cellStyle name="40% - akcent 6 3 3 2 6 2" xfId="15131"/>
    <cellStyle name="40% - akcent 6 3 3 2 6 2 2" xfId="15132"/>
    <cellStyle name="40% - akcent 6 3 3 2 6 2 3" xfId="15133"/>
    <cellStyle name="40% - akcent 6 3 3 2 6 3" xfId="15134"/>
    <cellStyle name="40% - akcent 6 3 3 2 6 4" xfId="15135"/>
    <cellStyle name="40% - akcent 6 3 3 2 7" xfId="15136"/>
    <cellStyle name="40% - akcent 6 3 3 2 7 2" xfId="15137"/>
    <cellStyle name="40% - akcent 6 3 3 2 7 2 2" xfId="15138"/>
    <cellStyle name="40% - akcent 6 3 3 2 7 2 3" xfId="15139"/>
    <cellStyle name="40% - akcent 6 3 3 2 7 3" xfId="15140"/>
    <cellStyle name="40% - akcent 6 3 3 2 7 4" xfId="15141"/>
    <cellStyle name="40% - akcent 6 3 3 2 8" xfId="15142"/>
    <cellStyle name="40% - akcent 6 3 3 2 8 2" xfId="15143"/>
    <cellStyle name="40% - akcent 6 3 3 2 8 3" xfId="15144"/>
    <cellStyle name="40% - akcent 6 3 3 2 9" xfId="15145"/>
    <cellStyle name="40% - akcent 6 3 3 3" xfId="15146"/>
    <cellStyle name="40% - akcent 6 3 3 3 2" xfId="15147"/>
    <cellStyle name="40% - akcent 6 3 3 3 2 2" xfId="15148"/>
    <cellStyle name="40% - akcent 6 3 3 3 2 2 2" xfId="15149"/>
    <cellStyle name="40% - akcent 6 3 3 3 2 2 3" xfId="15150"/>
    <cellStyle name="40% - akcent 6 3 3 3 2 3" xfId="15151"/>
    <cellStyle name="40% - akcent 6 3 3 3 2 4" xfId="15152"/>
    <cellStyle name="40% - akcent 6 3 3 3 3" xfId="15153"/>
    <cellStyle name="40% - akcent 6 3 3 3 3 2" xfId="15154"/>
    <cellStyle name="40% - akcent 6 3 3 3 3 2 2" xfId="15155"/>
    <cellStyle name="40% - akcent 6 3 3 3 3 2 3" xfId="15156"/>
    <cellStyle name="40% - akcent 6 3 3 3 3 3" xfId="15157"/>
    <cellStyle name="40% - akcent 6 3 3 3 3 4" xfId="15158"/>
    <cellStyle name="40% - akcent 6 3 3 3 4" xfId="15159"/>
    <cellStyle name="40% - akcent 6 3 3 3 4 2" xfId="15160"/>
    <cellStyle name="40% - akcent 6 3 3 3 4 2 2" xfId="15161"/>
    <cellStyle name="40% - akcent 6 3 3 3 4 2 3" xfId="15162"/>
    <cellStyle name="40% - akcent 6 3 3 3 4 3" xfId="15163"/>
    <cellStyle name="40% - akcent 6 3 3 3 4 4" xfId="15164"/>
    <cellStyle name="40% - akcent 6 3 3 3 5" xfId="15165"/>
    <cellStyle name="40% - akcent 6 3 3 3 5 2" xfId="15166"/>
    <cellStyle name="40% - akcent 6 3 3 3 5 3" xfId="15167"/>
    <cellStyle name="40% - akcent 6 3 3 3 6" xfId="15168"/>
    <cellStyle name="40% - akcent 6 3 3 3 7" xfId="15169"/>
    <cellStyle name="40% - akcent 6 3 3 4" xfId="15170"/>
    <cellStyle name="40% - akcent 6 3 3 4 2" xfId="15171"/>
    <cellStyle name="40% - akcent 6 3 3 4 2 2" xfId="15172"/>
    <cellStyle name="40% - akcent 6 3 3 4 2 2 2" xfId="15173"/>
    <cellStyle name="40% - akcent 6 3 3 4 2 2 3" xfId="15174"/>
    <cellStyle name="40% - akcent 6 3 3 4 2 3" xfId="15175"/>
    <cellStyle name="40% - akcent 6 3 3 4 2 4" xfId="15176"/>
    <cellStyle name="40% - akcent 6 3 3 4 3" xfId="15177"/>
    <cellStyle name="40% - akcent 6 3 3 4 3 2" xfId="15178"/>
    <cellStyle name="40% - akcent 6 3 3 4 3 2 2" xfId="15179"/>
    <cellStyle name="40% - akcent 6 3 3 4 3 2 3" xfId="15180"/>
    <cellStyle name="40% - akcent 6 3 3 4 3 3" xfId="15181"/>
    <cellStyle name="40% - akcent 6 3 3 4 3 4" xfId="15182"/>
    <cellStyle name="40% - akcent 6 3 3 4 4" xfId="15183"/>
    <cellStyle name="40% - akcent 6 3 3 4 4 2" xfId="15184"/>
    <cellStyle name="40% - akcent 6 3 3 4 4 2 2" xfId="15185"/>
    <cellStyle name="40% - akcent 6 3 3 4 4 2 3" xfId="15186"/>
    <cellStyle name="40% - akcent 6 3 3 4 4 3" xfId="15187"/>
    <cellStyle name="40% - akcent 6 3 3 4 4 4" xfId="15188"/>
    <cellStyle name="40% - akcent 6 3 3 4 5" xfId="15189"/>
    <cellStyle name="40% - akcent 6 3 3 4 5 2" xfId="15190"/>
    <cellStyle name="40% - akcent 6 3 3 4 5 3" xfId="15191"/>
    <cellStyle name="40% - akcent 6 3 3 4 6" xfId="15192"/>
    <cellStyle name="40% - akcent 6 3 3 4 7" xfId="15193"/>
    <cellStyle name="40% - akcent 6 3 3 5" xfId="15194"/>
    <cellStyle name="40% - akcent 6 3 3 5 2" xfId="15195"/>
    <cellStyle name="40% - akcent 6 3 3 5 2 2" xfId="15196"/>
    <cellStyle name="40% - akcent 6 3 3 5 2 2 2" xfId="15197"/>
    <cellStyle name="40% - akcent 6 3 3 5 2 2 3" xfId="15198"/>
    <cellStyle name="40% - akcent 6 3 3 5 2 3" xfId="15199"/>
    <cellStyle name="40% - akcent 6 3 3 5 2 4" xfId="15200"/>
    <cellStyle name="40% - akcent 6 3 3 5 3" xfId="15201"/>
    <cellStyle name="40% - akcent 6 3 3 5 3 2" xfId="15202"/>
    <cellStyle name="40% - akcent 6 3 3 5 3 3" xfId="15203"/>
    <cellStyle name="40% - akcent 6 3 3 5 4" xfId="15204"/>
    <cellStyle name="40% - akcent 6 3 3 5 5" xfId="15205"/>
    <cellStyle name="40% - akcent 6 3 3 6" xfId="15206"/>
    <cellStyle name="40% - akcent 6 3 3 6 2" xfId="15207"/>
    <cellStyle name="40% - akcent 6 3 3 6 2 2" xfId="15208"/>
    <cellStyle name="40% - akcent 6 3 3 6 2 3" xfId="15209"/>
    <cellStyle name="40% - akcent 6 3 3 6 3" xfId="15210"/>
    <cellStyle name="40% - akcent 6 3 3 6 4" xfId="15211"/>
    <cellStyle name="40% - akcent 6 3 3 7" xfId="15212"/>
    <cellStyle name="40% - akcent 6 3 3 7 2" xfId="15213"/>
    <cellStyle name="40% - akcent 6 3 3 7 2 2" xfId="15214"/>
    <cellStyle name="40% - akcent 6 3 3 7 2 3" xfId="15215"/>
    <cellStyle name="40% - akcent 6 3 3 7 3" xfId="15216"/>
    <cellStyle name="40% - akcent 6 3 3 7 4" xfId="15217"/>
    <cellStyle name="40% - akcent 6 3 3 8" xfId="15218"/>
    <cellStyle name="40% - akcent 6 3 3 8 2" xfId="15219"/>
    <cellStyle name="40% - akcent 6 3 3 8 2 2" xfId="15220"/>
    <cellStyle name="40% - akcent 6 3 3 8 2 3" xfId="15221"/>
    <cellStyle name="40% - akcent 6 3 3 8 3" xfId="15222"/>
    <cellStyle name="40% - akcent 6 3 3 8 4" xfId="15223"/>
    <cellStyle name="40% - akcent 6 3 3 9" xfId="15224"/>
    <cellStyle name="40% - akcent 6 3 3 9 2" xfId="15225"/>
    <cellStyle name="40% - akcent 6 3 3 9 3" xfId="15226"/>
    <cellStyle name="40% - akcent 6 3 4" xfId="15227"/>
    <cellStyle name="40% - akcent 6 3 4 10" xfId="15228"/>
    <cellStyle name="40% - akcent 6 3 4 2" xfId="15229"/>
    <cellStyle name="40% - akcent 6 3 4 2 2" xfId="15230"/>
    <cellStyle name="40% - akcent 6 3 4 2 2 2" xfId="15231"/>
    <cellStyle name="40% - akcent 6 3 4 2 2 2 2" xfId="15232"/>
    <cellStyle name="40% - akcent 6 3 4 2 2 2 3" xfId="15233"/>
    <cellStyle name="40% - akcent 6 3 4 2 2 3" xfId="15234"/>
    <cellStyle name="40% - akcent 6 3 4 2 2 4" xfId="15235"/>
    <cellStyle name="40% - akcent 6 3 4 2 3" xfId="15236"/>
    <cellStyle name="40% - akcent 6 3 4 2 3 2" xfId="15237"/>
    <cellStyle name="40% - akcent 6 3 4 2 3 2 2" xfId="15238"/>
    <cellStyle name="40% - akcent 6 3 4 2 3 2 3" xfId="15239"/>
    <cellStyle name="40% - akcent 6 3 4 2 3 3" xfId="15240"/>
    <cellStyle name="40% - akcent 6 3 4 2 3 4" xfId="15241"/>
    <cellStyle name="40% - akcent 6 3 4 2 4" xfId="15242"/>
    <cellStyle name="40% - akcent 6 3 4 2 4 2" xfId="15243"/>
    <cellStyle name="40% - akcent 6 3 4 2 4 2 2" xfId="15244"/>
    <cellStyle name="40% - akcent 6 3 4 2 4 2 3" xfId="15245"/>
    <cellStyle name="40% - akcent 6 3 4 2 4 3" xfId="15246"/>
    <cellStyle name="40% - akcent 6 3 4 2 4 4" xfId="15247"/>
    <cellStyle name="40% - akcent 6 3 4 2 5" xfId="15248"/>
    <cellStyle name="40% - akcent 6 3 4 2 5 2" xfId="15249"/>
    <cellStyle name="40% - akcent 6 3 4 2 5 3" xfId="15250"/>
    <cellStyle name="40% - akcent 6 3 4 2 6" xfId="15251"/>
    <cellStyle name="40% - akcent 6 3 4 2 7" xfId="15252"/>
    <cellStyle name="40% - akcent 6 3 4 3" xfId="15253"/>
    <cellStyle name="40% - akcent 6 3 4 3 2" xfId="15254"/>
    <cellStyle name="40% - akcent 6 3 4 3 2 2" xfId="15255"/>
    <cellStyle name="40% - akcent 6 3 4 3 2 2 2" xfId="15256"/>
    <cellStyle name="40% - akcent 6 3 4 3 2 2 3" xfId="15257"/>
    <cellStyle name="40% - akcent 6 3 4 3 2 3" xfId="15258"/>
    <cellStyle name="40% - akcent 6 3 4 3 2 4" xfId="15259"/>
    <cellStyle name="40% - akcent 6 3 4 3 3" xfId="15260"/>
    <cellStyle name="40% - akcent 6 3 4 3 3 2" xfId="15261"/>
    <cellStyle name="40% - akcent 6 3 4 3 3 2 2" xfId="15262"/>
    <cellStyle name="40% - akcent 6 3 4 3 3 2 3" xfId="15263"/>
    <cellStyle name="40% - akcent 6 3 4 3 3 3" xfId="15264"/>
    <cellStyle name="40% - akcent 6 3 4 3 3 4" xfId="15265"/>
    <cellStyle name="40% - akcent 6 3 4 3 4" xfId="15266"/>
    <cellStyle name="40% - akcent 6 3 4 3 4 2" xfId="15267"/>
    <cellStyle name="40% - akcent 6 3 4 3 4 2 2" xfId="15268"/>
    <cellStyle name="40% - akcent 6 3 4 3 4 2 3" xfId="15269"/>
    <cellStyle name="40% - akcent 6 3 4 3 4 3" xfId="15270"/>
    <cellStyle name="40% - akcent 6 3 4 3 4 4" xfId="15271"/>
    <cellStyle name="40% - akcent 6 3 4 3 5" xfId="15272"/>
    <cellStyle name="40% - akcent 6 3 4 3 5 2" xfId="15273"/>
    <cellStyle name="40% - akcent 6 3 4 3 5 3" xfId="15274"/>
    <cellStyle name="40% - akcent 6 3 4 3 6" xfId="15275"/>
    <cellStyle name="40% - akcent 6 3 4 3 7" xfId="15276"/>
    <cellStyle name="40% - akcent 6 3 4 4" xfId="15277"/>
    <cellStyle name="40% - akcent 6 3 4 4 2" xfId="15278"/>
    <cellStyle name="40% - akcent 6 3 4 4 2 2" xfId="15279"/>
    <cellStyle name="40% - akcent 6 3 4 4 2 2 2" xfId="15280"/>
    <cellStyle name="40% - akcent 6 3 4 4 2 2 3" xfId="15281"/>
    <cellStyle name="40% - akcent 6 3 4 4 2 3" xfId="15282"/>
    <cellStyle name="40% - akcent 6 3 4 4 2 4" xfId="15283"/>
    <cellStyle name="40% - akcent 6 3 4 4 3" xfId="15284"/>
    <cellStyle name="40% - akcent 6 3 4 4 3 2" xfId="15285"/>
    <cellStyle name="40% - akcent 6 3 4 4 3 3" xfId="15286"/>
    <cellStyle name="40% - akcent 6 3 4 4 4" xfId="15287"/>
    <cellStyle name="40% - akcent 6 3 4 4 5" xfId="15288"/>
    <cellStyle name="40% - akcent 6 3 4 5" xfId="15289"/>
    <cellStyle name="40% - akcent 6 3 4 5 2" xfId="15290"/>
    <cellStyle name="40% - akcent 6 3 4 5 2 2" xfId="15291"/>
    <cellStyle name="40% - akcent 6 3 4 5 2 3" xfId="15292"/>
    <cellStyle name="40% - akcent 6 3 4 5 3" xfId="15293"/>
    <cellStyle name="40% - akcent 6 3 4 5 4" xfId="15294"/>
    <cellStyle name="40% - akcent 6 3 4 6" xfId="15295"/>
    <cellStyle name="40% - akcent 6 3 4 6 2" xfId="15296"/>
    <cellStyle name="40% - akcent 6 3 4 6 2 2" xfId="15297"/>
    <cellStyle name="40% - akcent 6 3 4 6 2 3" xfId="15298"/>
    <cellStyle name="40% - akcent 6 3 4 6 3" xfId="15299"/>
    <cellStyle name="40% - akcent 6 3 4 6 4" xfId="15300"/>
    <cellStyle name="40% - akcent 6 3 4 7" xfId="15301"/>
    <cellStyle name="40% - akcent 6 3 4 7 2" xfId="15302"/>
    <cellStyle name="40% - akcent 6 3 4 7 2 2" xfId="15303"/>
    <cellStyle name="40% - akcent 6 3 4 7 2 3" xfId="15304"/>
    <cellStyle name="40% - akcent 6 3 4 7 3" xfId="15305"/>
    <cellStyle name="40% - akcent 6 3 4 7 4" xfId="15306"/>
    <cellStyle name="40% - akcent 6 3 4 8" xfId="15307"/>
    <cellStyle name="40% - akcent 6 3 4 8 2" xfId="15308"/>
    <cellStyle name="40% - akcent 6 3 4 8 3" xfId="15309"/>
    <cellStyle name="40% - akcent 6 3 4 9" xfId="15310"/>
    <cellStyle name="40% - akcent 6 3 5" xfId="15311"/>
    <cellStyle name="40% - akcent 6 3 5 2" xfId="15312"/>
    <cellStyle name="40% - akcent 6 3 5 2 2" xfId="15313"/>
    <cellStyle name="40% - akcent 6 3 5 2 2 2" xfId="15314"/>
    <cellStyle name="40% - akcent 6 3 5 2 2 2 2" xfId="15315"/>
    <cellStyle name="40% - akcent 6 3 5 2 2 2 3" xfId="15316"/>
    <cellStyle name="40% - akcent 6 3 5 2 2 3" xfId="15317"/>
    <cellStyle name="40% - akcent 6 3 5 2 2 4" xfId="15318"/>
    <cellStyle name="40% - akcent 6 3 5 2 3" xfId="15319"/>
    <cellStyle name="40% - akcent 6 3 5 2 3 2" xfId="15320"/>
    <cellStyle name="40% - akcent 6 3 5 2 3 2 2" xfId="15321"/>
    <cellStyle name="40% - akcent 6 3 5 2 3 2 3" xfId="15322"/>
    <cellStyle name="40% - akcent 6 3 5 2 3 3" xfId="15323"/>
    <cellStyle name="40% - akcent 6 3 5 2 3 4" xfId="15324"/>
    <cellStyle name="40% - akcent 6 3 5 2 4" xfId="15325"/>
    <cellStyle name="40% - akcent 6 3 5 2 4 2" xfId="15326"/>
    <cellStyle name="40% - akcent 6 3 5 2 4 2 2" xfId="15327"/>
    <cellStyle name="40% - akcent 6 3 5 2 4 2 3" xfId="15328"/>
    <cellStyle name="40% - akcent 6 3 5 2 4 3" xfId="15329"/>
    <cellStyle name="40% - akcent 6 3 5 2 4 4" xfId="15330"/>
    <cellStyle name="40% - akcent 6 3 5 2 5" xfId="15331"/>
    <cellStyle name="40% - akcent 6 3 5 2 5 2" xfId="15332"/>
    <cellStyle name="40% - akcent 6 3 5 2 5 3" xfId="15333"/>
    <cellStyle name="40% - akcent 6 3 5 2 6" xfId="15334"/>
    <cellStyle name="40% - akcent 6 3 5 2 7" xfId="15335"/>
    <cellStyle name="40% - akcent 6 3 5 3" xfId="15336"/>
    <cellStyle name="40% - akcent 6 3 5 3 2" xfId="15337"/>
    <cellStyle name="40% - akcent 6 3 5 3 2 2" xfId="15338"/>
    <cellStyle name="40% - akcent 6 3 5 3 2 2 2" xfId="15339"/>
    <cellStyle name="40% - akcent 6 3 5 3 2 2 3" xfId="15340"/>
    <cellStyle name="40% - akcent 6 3 5 3 2 3" xfId="15341"/>
    <cellStyle name="40% - akcent 6 3 5 3 2 4" xfId="15342"/>
    <cellStyle name="40% - akcent 6 3 5 3 3" xfId="15343"/>
    <cellStyle name="40% - akcent 6 3 5 3 3 2" xfId="15344"/>
    <cellStyle name="40% - akcent 6 3 5 3 3 2 2" xfId="15345"/>
    <cellStyle name="40% - akcent 6 3 5 3 3 2 3" xfId="15346"/>
    <cellStyle name="40% - akcent 6 3 5 3 3 3" xfId="15347"/>
    <cellStyle name="40% - akcent 6 3 5 3 3 4" xfId="15348"/>
    <cellStyle name="40% - akcent 6 3 5 3 4" xfId="15349"/>
    <cellStyle name="40% - akcent 6 3 5 3 4 2" xfId="15350"/>
    <cellStyle name="40% - akcent 6 3 5 3 4 2 2" xfId="15351"/>
    <cellStyle name="40% - akcent 6 3 5 3 4 2 3" xfId="15352"/>
    <cellStyle name="40% - akcent 6 3 5 3 4 3" xfId="15353"/>
    <cellStyle name="40% - akcent 6 3 5 3 4 4" xfId="15354"/>
    <cellStyle name="40% - akcent 6 3 5 3 5" xfId="15355"/>
    <cellStyle name="40% - akcent 6 3 5 3 5 2" xfId="15356"/>
    <cellStyle name="40% - akcent 6 3 5 3 5 3" xfId="15357"/>
    <cellStyle name="40% - akcent 6 3 5 3 6" xfId="15358"/>
    <cellStyle name="40% - akcent 6 3 5 3 7" xfId="15359"/>
    <cellStyle name="40% - akcent 6 3 5 4" xfId="15360"/>
    <cellStyle name="40% - akcent 6 3 5 4 2" xfId="15361"/>
    <cellStyle name="40% - akcent 6 3 5 4 2 2" xfId="15362"/>
    <cellStyle name="40% - akcent 6 3 5 4 2 3" xfId="15363"/>
    <cellStyle name="40% - akcent 6 3 5 4 3" xfId="15364"/>
    <cellStyle name="40% - akcent 6 3 5 4 4" xfId="15365"/>
    <cellStyle name="40% - akcent 6 3 5 5" xfId="15366"/>
    <cellStyle name="40% - akcent 6 3 5 5 2" xfId="15367"/>
    <cellStyle name="40% - akcent 6 3 5 5 2 2" xfId="15368"/>
    <cellStyle name="40% - akcent 6 3 5 5 2 3" xfId="15369"/>
    <cellStyle name="40% - akcent 6 3 5 5 3" xfId="15370"/>
    <cellStyle name="40% - akcent 6 3 5 5 4" xfId="15371"/>
    <cellStyle name="40% - akcent 6 3 5 6" xfId="15372"/>
    <cellStyle name="40% - akcent 6 3 5 6 2" xfId="15373"/>
    <cellStyle name="40% - akcent 6 3 5 6 2 2" xfId="15374"/>
    <cellStyle name="40% - akcent 6 3 5 6 2 3" xfId="15375"/>
    <cellStyle name="40% - akcent 6 3 5 6 3" xfId="15376"/>
    <cellStyle name="40% - akcent 6 3 5 6 4" xfId="15377"/>
    <cellStyle name="40% - akcent 6 3 5 7" xfId="15378"/>
    <cellStyle name="40% - akcent 6 3 5 7 2" xfId="15379"/>
    <cellStyle name="40% - akcent 6 3 5 7 3" xfId="15380"/>
    <cellStyle name="40% - akcent 6 3 5 8" xfId="15381"/>
    <cellStyle name="40% - akcent 6 3 5 9" xfId="15382"/>
    <cellStyle name="40% - akcent 6 3 6" xfId="15383"/>
    <cellStyle name="40% - akcent 6 3 6 2" xfId="15384"/>
    <cellStyle name="40% - akcent 6 3 6 2 2" xfId="15385"/>
    <cellStyle name="40% - akcent 6 3 6 2 2 2" xfId="15386"/>
    <cellStyle name="40% - akcent 6 3 6 2 2 2 2" xfId="15387"/>
    <cellStyle name="40% - akcent 6 3 6 2 2 2 3" xfId="15388"/>
    <cellStyle name="40% - akcent 6 3 6 2 2 3" xfId="15389"/>
    <cellStyle name="40% - akcent 6 3 6 2 2 4" xfId="15390"/>
    <cellStyle name="40% - akcent 6 3 6 2 3" xfId="15391"/>
    <cellStyle name="40% - akcent 6 3 6 2 3 2" xfId="15392"/>
    <cellStyle name="40% - akcent 6 3 6 2 3 2 2" xfId="15393"/>
    <cellStyle name="40% - akcent 6 3 6 2 3 2 3" xfId="15394"/>
    <cellStyle name="40% - akcent 6 3 6 2 3 3" xfId="15395"/>
    <cellStyle name="40% - akcent 6 3 6 2 3 4" xfId="15396"/>
    <cellStyle name="40% - akcent 6 3 6 2 4" xfId="15397"/>
    <cellStyle name="40% - akcent 6 3 6 2 4 2" xfId="15398"/>
    <cellStyle name="40% - akcent 6 3 6 2 4 2 2" xfId="15399"/>
    <cellStyle name="40% - akcent 6 3 6 2 4 2 3" xfId="15400"/>
    <cellStyle name="40% - akcent 6 3 6 2 4 3" xfId="15401"/>
    <cellStyle name="40% - akcent 6 3 6 2 4 4" xfId="15402"/>
    <cellStyle name="40% - akcent 6 3 6 2 5" xfId="15403"/>
    <cellStyle name="40% - akcent 6 3 6 2 5 2" xfId="15404"/>
    <cellStyle name="40% - akcent 6 3 6 2 5 3" xfId="15405"/>
    <cellStyle name="40% - akcent 6 3 6 2 6" xfId="15406"/>
    <cellStyle name="40% - akcent 6 3 6 2 7" xfId="15407"/>
    <cellStyle name="40% - akcent 6 3 6 3" xfId="15408"/>
    <cellStyle name="40% - akcent 6 3 6 3 2" xfId="15409"/>
    <cellStyle name="40% - akcent 6 3 6 3 2 2" xfId="15410"/>
    <cellStyle name="40% - akcent 6 3 6 3 2 2 2" xfId="15411"/>
    <cellStyle name="40% - akcent 6 3 6 3 2 2 3" xfId="15412"/>
    <cellStyle name="40% - akcent 6 3 6 3 2 3" xfId="15413"/>
    <cellStyle name="40% - akcent 6 3 6 3 2 4" xfId="15414"/>
    <cellStyle name="40% - akcent 6 3 6 3 3" xfId="15415"/>
    <cellStyle name="40% - akcent 6 3 6 3 3 2" xfId="15416"/>
    <cellStyle name="40% - akcent 6 3 6 3 3 2 2" xfId="15417"/>
    <cellStyle name="40% - akcent 6 3 6 3 3 2 3" xfId="15418"/>
    <cellStyle name="40% - akcent 6 3 6 3 3 3" xfId="15419"/>
    <cellStyle name="40% - akcent 6 3 6 3 3 4" xfId="15420"/>
    <cellStyle name="40% - akcent 6 3 6 3 4" xfId="15421"/>
    <cellStyle name="40% - akcent 6 3 6 3 4 2" xfId="15422"/>
    <cellStyle name="40% - akcent 6 3 6 3 4 2 2" xfId="15423"/>
    <cellStyle name="40% - akcent 6 3 6 3 4 2 3" xfId="15424"/>
    <cellStyle name="40% - akcent 6 3 6 3 4 3" xfId="15425"/>
    <cellStyle name="40% - akcent 6 3 6 3 4 4" xfId="15426"/>
    <cellStyle name="40% - akcent 6 3 6 3 5" xfId="15427"/>
    <cellStyle name="40% - akcent 6 3 6 3 5 2" xfId="15428"/>
    <cellStyle name="40% - akcent 6 3 6 3 5 3" xfId="15429"/>
    <cellStyle name="40% - akcent 6 3 6 3 6" xfId="15430"/>
    <cellStyle name="40% - akcent 6 3 6 3 7" xfId="15431"/>
    <cellStyle name="40% - akcent 6 3 6 4" xfId="15432"/>
    <cellStyle name="40% - akcent 6 3 6 4 2" xfId="15433"/>
    <cellStyle name="40% - akcent 6 3 6 4 2 2" xfId="15434"/>
    <cellStyle name="40% - akcent 6 3 6 4 2 3" xfId="15435"/>
    <cellStyle name="40% - akcent 6 3 6 4 3" xfId="15436"/>
    <cellStyle name="40% - akcent 6 3 6 4 4" xfId="15437"/>
    <cellStyle name="40% - akcent 6 3 6 5" xfId="15438"/>
    <cellStyle name="40% - akcent 6 3 6 5 2" xfId="15439"/>
    <cellStyle name="40% - akcent 6 3 6 5 2 2" xfId="15440"/>
    <cellStyle name="40% - akcent 6 3 6 5 2 3" xfId="15441"/>
    <cellStyle name="40% - akcent 6 3 6 5 3" xfId="15442"/>
    <cellStyle name="40% - akcent 6 3 6 5 4" xfId="15443"/>
    <cellStyle name="40% - akcent 6 3 6 6" xfId="15444"/>
    <cellStyle name="40% - akcent 6 3 6 6 2" xfId="15445"/>
    <cellStyle name="40% - akcent 6 3 6 6 2 2" xfId="15446"/>
    <cellStyle name="40% - akcent 6 3 6 6 2 3" xfId="15447"/>
    <cellStyle name="40% - akcent 6 3 6 6 3" xfId="15448"/>
    <cellStyle name="40% - akcent 6 3 6 6 4" xfId="15449"/>
    <cellStyle name="40% - akcent 6 3 6 7" xfId="15450"/>
    <cellStyle name="40% - akcent 6 3 6 7 2" xfId="15451"/>
    <cellStyle name="40% - akcent 6 3 6 7 3" xfId="15452"/>
    <cellStyle name="40% - akcent 6 3 6 8" xfId="15453"/>
    <cellStyle name="40% - akcent 6 3 6 9" xfId="15454"/>
    <cellStyle name="40% - akcent 6 3 7" xfId="15455"/>
    <cellStyle name="40% - akcent 6 3 7 2" xfId="15456"/>
    <cellStyle name="40% - akcent 6 3 7 2 2" xfId="15457"/>
    <cellStyle name="40% - akcent 6 3 7 2 2 2" xfId="15458"/>
    <cellStyle name="40% - akcent 6 3 7 2 2 2 2" xfId="15459"/>
    <cellStyle name="40% - akcent 6 3 7 2 2 2 3" xfId="15460"/>
    <cellStyle name="40% - akcent 6 3 7 2 2 3" xfId="15461"/>
    <cellStyle name="40% - akcent 6 3 7 2 2 4" xfId="15462"/>
    <cellStyle name="40% - akcent 6 3 7 2 3" xfId="15463"/>
    <cellStyle name="40% - akcent 6 3 7 2 3 2" xfId="15464"/>
    <cellStyle name="40% - akcent 6 3 7 2 3 2 2" xfId="15465"/>
    <cellStyle name="40% - akcent 6 3 7 2 3 2 3" xfId="15466"/>
    <cellStyle name="40% - akcent 6 3 7 2 3 3" xfId="15467"/>
    <cellStyle name="40% - akcent 6 3 7 2 3 4" xfId="15468"/>
    <cellStyle name="40% - akcent 6 3 7 2 4" xfId="15469"/>
    <cellStyle name="40% - akcent 6 3 7 2 4 2" xfId="15470"/>
    <cellStyle name="40% - akcent 6 3 7 2 4 2 2" xfId="15471"/>
    <cellStyle name="40% - akcent 6 3 7 2 4 2 3" xfId="15472"/>
    <cellStyle name="40% - akcent 6 3 7 2 4 3" xfId="15473"/>
    <cellStyle name="40% - akcent 6 3 7 2 4 4" xfId="15474"/>
    <cellStyle name="40% - akcent 6 3 7 2 5" xfId="15475"/>
    <cellStyle name="40% - akcent 6 3 7 2 5 2" xfId="15476"/>
    <cellStyle name="40% - akcent 6 3 7 2 5 3" xfId="15477"/>
    <cellStyle name="40% - akcent 6 3 7 2 6" xfId="15478"/>
    <cellStyle name="40% - akcent 6 3 7 2 7" xfId="15479"/>
    <cellStyle name="40% - akcent 6 3 7 3" xfId="15480"/>
    <cellStyle name="40% - akcent 6 3 7 3 2" xfId="15481"/>
    <cellStyle name="40% - akcent 6 3 7 3 2 2" xfId="15482"/>
    <cellStyle name="40% - akcent 6 3 7 3 2 3" xfId="15483"/>
    <cellStyle name="40% - akcent 6 3 7 3 3" xfId="15484"/>
    <cellStyle name="40% - akcent 6 3 7 3 4" xfId="15485"/>
    <cellStyle name="40% - akcent 6 3 7 4" xfId="15486"/>
    <cellStyle name="40% - akcent 6 3 7 4 2" xfId="15487"/>
    <cellStyle name="40% - akcent 6 3 7 4 2 2" xfId="15488"/>
    <cellStyle name="40% - akcent 6 3 7 4 2 3" xfId="15489"/>
    <cellStyle name="40% - akcent 6 3 7 4 3" xfId="15490"/>
    <cellStyle name="40% - akcent 6 3 7 4 4" xfId="15491"/>
    <cellStyle name="40% - akcent 6 3 7 5" xfId="15492"/>
    <cellStyle name="40% - akcent 6 3 7 5 2" xfId="15493"/>
    <cellStyle name="40% - akcent 6 3 7 5 2 2" xfId="15494"/>
    <cellStyle name="40% - akcent 6 3 7 5 2 3" xfId="15495"/>
    <cellStyle name="40% - akcent 6 3 7 5 3" xfId="15496"/>
    <cellStyle name="40% - akcent 6 3 7 5 4" xfId="15497"/>
    <cellStyle name="40% - akcent 6 3 7 6" xfId="15498"/>
    <cellStyle name="40% - akcent 6 3 7 6 2" xfId="15499"/>
    <cellStyle name="40% - akcent 6 3 7 6 3" xfId="15500"/>
    <cellStyle name="40% - akcent 6 3 7 7" xfId="15501"/>
    <cellStyle name="40% - akcent 6 3 7 8" xfId="15502"/>
    <cellStyle name="40% - akcent 6 3 8" xfId="15503"/>
    <cellStyle name="40% - akcent 6 3 8 2" xfId="15504"/>
    <cellStyle name="40% - akcent 6 3 8 2 2" xfId="15505"/>
    <cellStyle name="40% - akcent 6 3 8 2 2 2" xfId="15506"/>
    <cellStyle name="40% - akcent 6 3 8 2 2 2 2" xfId="15507"/>
    <cellStyle name="40% - akcent 6 3 8 2 2 2 3" xfId="15508"/>
    <cellStyle name="40% - akcent 6 3 8 2 2 3" xfId="15509"/>
    <cellStyle name="40% - akcent 6 3 8 2 2 4" xfId="15510"/>
    <cellStyle name="40% - akcent 6 3 8 2 3" xfId="15511"/>
    <cellStyle name="40% - akcent 6 3 8 2 3 2" xfId="15512"/>
    <cellStyle name="40% - akcent 6 3 8 2 3 2 2" xfId="15513"/>
    <cellStyle name="40% - akcent 6 3 8 2 3 2 3" xfId="15514"/>
    <cellStyle name="40% - akcent 6 3 8 2 3 3" xfId="15515"/>
    <cellStyle name="40% - akcent 6 3 8 2 3 4" xfId="15516"/>
    <cellStyle name="40% - akcent 6 3 8 2 4" xfId="15517"/>
    <cellStyle name="40% - akcent 6 3 8 2 4 2" xfId="15518"/>
    <cellStyle name="40% - akcent 6 3 8 2 4 2 2" xfId="15519"/>
    <cellStyle name="40% - akcent 6 3 8 2 4 2 3" xfId="15520"/>
    <cellStyle name="40% - akcent 6 3 8 2 4 3" xfId="15521"/>
    <cellStyle name="40% - akcent 6 3 8 2 4 4" xfId="15522"/>
    <cellStyle name="40% - akcent 6 3 8 2 5" xfId="15523"/>
    <cellStyle name="40% - akcent 6 3 8 2 5 2" xfId="15524"/>
    <cellStyle name="40% - akcent 6 3 8 2 5 3" xfId="15525"/>
    <cellStyle name="40% - akcent 6 3 8 2 6" xfId="15526"/>
    <cellStyle name="40% - akcent 6 3 8 2 7" xfId="15527"/>
    <cellStyle name="40% - akcent 6 3 8 3" xfId="15528"/>
    <cellStyle name="40% - akcent 6 3 8 3 2" xfId="15529"/>
    <cellStyle name="40% - akcent 6 3 8 3 2 2" xfId="15530"/>
    <cellStyle name="40% - akcent 6 3 8 3 2 3" xfId="15531"/>
    <cellStyle name="40% - akcent 6 3 8 3 3" xfId="15532"/>
    <cellStyle name="40% - akcent 6 3 8 3 4" xfId="15533"/>
    <cellStyle name="40% - akcent 6 3 8 4" xfId="15534"/>
    <cellStyle name="40% - akcent 6 3 8 4 2" xfId="15535"/>
    <cellStyle name="40% - akcent 6 3 8 4 2 2" xfId="15536"/>
    <cellStyle name="40% - akcent 6 3 8 4 2 3" xfId="15537"/>
    <cellStyle name="40% - akcent 6 3 8 4 3" xfId="15538"/>
    <cellStyle name="40% - akcent 6 3 8 4 4" xfId="15539"/>
    <cellStyle name="40% - akcent 6 3 8 5" xfId="15540"/>
    <cellStyle name="40% - akcent 6 3 8 5 2" xfId="15541"/>
    <cellStyle name="40% - akcent 6 3 8 5 2 2" xfId="15542"/>
    <cellStyle name="40% - akcent 6 3 8 5 2 3" xfId="15543"/>
    <cellStyle name="40% - akcent 6 3 8 5 3" xfId="15544"/>
    <cellStyle name="40% - akcent 6 3 8 5 4" xfId="15545"/>
    <cellStyle name="40% - akcent 6 3 8 6" xfId="15546"/>
    <cellStyle name="40% - akcent 6 3 8 6 2" xfId="15547"/>
    <cellStyle name="40% - akcent 6 3 8 6 3" xfId="15548"/>
    <cellStyle name="40% - akcent 6 3 8 7" xfId="15549"/>
    <cellStyle name="40% - akcent 6 3 8 8" xfId="15550"/>
    <cellStyle name="40% - akcent 6 3 9" xfId="15551"/>
    <cellStyle name="40% - akcent 6 3 9 2" xfId="15552"/>
    <cellStyle name="40% - akcent 6 3 9 2 2" xfId="15553"/>
    <cellStyle name="40% - akcent 6 3 9 2 2 2" xfId="15554"/>
    <cellStyle name="40% - akcent 6 3 9 2 2 3" xfId="15555"/>
    <cellStyle name="40% - akcent 6 3 9 2 3" xfId="15556"/>
    <cellStyle name="40% - akcent 6 3 9 2 4" xfId="15557"/>
    <cellStyle name="40% - akcent 6 3 9 3" xfId="15558"/>
    <cellStyle name="40% - akcent 6 3 9 3 2" xfId="15559"/>
    <cellStyle name="40% - akcent 6 3 9 3 2 2" xfId="15560"/>
    <cellStyle name="40% - akcent 6 3 9 3 2 3" xfId="15561"/>
    <cellStyle name="40% - akcent 6 3 9 3 3" xfId="15562"/>
    <cellStyle name="40% - akcent 6 3 9 3 4" xfId="15563"/>
    <cellStyle name="40% - akcent 6 3 9 4" xfId="15564"/>
    <cellStyle name="40% - akcent 6 3 9 4 2" xfId="15565"/>
    <cellStyle name="40% - akcent 6 3 9 4 2 2" xfId="15566"/>
    <cellStyle name="40% - akcent 6 3 9 4 2 3" xfId="15567"/>
    <cellStyle name="40% - akcent 6 3 9 4 3" xfId="15568"/>
    <cellStyle name="40% - akcent 6 3 9 4 4" xfId="15569"/>
    <cellStyle name="40% - akcent 6 3 9 5" xfId="15570"/>
    <cellStyle name="40% - akcent 6 3 9 5 2" xfId="15571"/>
    <cellStyle name="40% - akcent 6 3 9 5 3" xfId="15572"/>
    <cellStyle name="40% - akcent 6 3 9 6" xfId="15573"/>
    <cellStyle name="40% - akcent 6 3 9 7" xfId="15574"/>
    <cellStyle name="40% - akcent 6 4" xfId="15575"/>
    <cellStyle name="40% - akcent 6 5" xfId="15576"/>
    <cellStyle name="40% - akcent 6 6" xfId="15577"/>
    <cellStyle name="60% - akcent 1 2" xfId="15578"/>
    <cellStyle name="60% - akcent 1 2 2" xfId="15579"/>
    <cellStyle name="60% - akcent 1 2 3" xfId="15580"/>
    <cellStyle name="60% - akcent 1 3" xfId="15581"/>
    <cellStyle name="60% - akcent 1 4" xfId="15582"/>
    <cellStyle name="60% - akcent 1 5" xfId="15583"/>
    <cellStyle name="60% - akcent 1 6" xfId="15584"/>
    <cellStyle name="60% - akcent 2 2" xfId="15585"/>
    <cellStyle name="60% - akcent 2 2 2" xfId="15586"/>
    <cellStyle name="60% - akcent 2 2 3" xfId="15587"/>
    <cellStyle name="60% - akcent 2 3" xfId="15588"/>
    <cellStyle name="60% - akcent 2 4" xfId="15589"/>
    <cellStyle name="60% - akcent 2 5" xfId="15590"/>
    <cellStyle name="60% - akcent 2 6" xfId="15591"/>
    <cellStyle name="60% - akcent 3 2" xfId="15592"/>
    <cellStyle name="60% - akcent 3 2 2" xfId="15593"/>
    <cellStyle name="60% - akcent 3 2 3" xfId="15594"/>
    <cellStyle name="60% - akcent 3 3" xfId="15595"/>
    <cellStyle name="60% - akcent 3 4" xfId="15596"/>
    <cellStyle name="60% - akcent 3 5" xfId="15597"/>
    <cellStyle name="60% - akcent 3 6" xfId="15598"/>
    <cellStyle name="60% - akcent 4 2" xfId="15599"/>
    <cellStyle name="60% - akcent 4 2 2" xfId="15600"/>
    <cellStyle name="60% - akcent 4 2 3" xfId="15601"/>
    <cellStyle name="60% - akcent 4 3" xfId="15602"/>
    <cellStyle name="60% - akcent 4 4" xfId="15603"/>
    <cellStyle name="60% - akcent 4 5" xfId="15604"/>
    <cellStyle name="60% - akcent 4 6" xfId="15605"/>
    <cellStyle name="60% - akcent 5 2" xfId="15606"/>
    <cellStyle name="60% - akcent 5 2 2" xfId="15607"/>
    <cellStyle name="60% - akcent 5 2 3" xfId="15608"/>
    <cellStyle name="60% - akcent 5 3" xfId="15609"/>
    <cellStyle name="60% - akcent 5 4" xfId="15610"/>
    <cellStyle name="60% - akcent 5 5" xfId="15611"/>
    <cellStyle name="60% - akcent 5 6" xfId="15612"/>
    <cellStyle name="60% - akcent 6 2" xfId="15613"/>
    <cellStyle name="60% - akcent 6 2 2" xfId="15614"/>
    <cellStyle name="60% - akcent 6 2 3" xfId="15615"/>
    <cellStyle name="60% - akcent 6 3" xfId="15616"/>
    <cellStyle name="60% - akcent 6 4" xfId="15617"/>
    <cellStyle name="60% - akcent 6 5" xfId="15618"/>
    <cellStyle name="60% - akcent 6 6" xfId="15619"/>
    <cellStyle name="Akcent 1 2" xfId="15620"/>
    <cellStyle name="Akcent 1 2 2" xfId="15621"/>
    <cellStyle name="Akcent 1 2 3" xfId="15622"/>
    <cellStyle name="Akcent 1 3" xfId="15623"/>
    <cellStyle name="Akcent 1 4" xfId="15624"/>
    <cellStyle name="Akcent 1 5" xfId="15625"/>
    <cellStyle name="Akcent 1 6" xfId="15626"/>
    <cellStyle name="Akcent 2 2" xfId="15627"/>
    <cellStyle name="Akcent 2 2 2" xfId="15628"/>
    <cellStyle name="Akcent 2 2 3" xfId="15629"/>
    <cellStyle name="Akcent 2 3" xfId="15630"/>
    <cellStyle name="Akcent 2 4" xfId="15631"/>
    <cellStyle name="Akcent 2 5" xfId="15632"/>
    <cellStyle name="Akcent 2 6" xfId="15633"/>
    <cellStyle name="Akcent 3 2" xfId="15634"/>
    <cellStyle name="Akcent 3 2 2" xfId="15635"/>
    <cellStyle name="Akcent 3 2 3" xfId="15636"/>
    <cellStyle name="Akcent 3 3" xfId="15637"/>
    <cellStyle name="Akcent 3 4" xfId="15638"/>
    <cellStyle name="Akcent 3 5" xfId="15639"/>
    <cellStyle name="Akcent 3 6" xfId="15640"/>
    <cellStyle name="Akcent 4 2" xfId="15641"/>
    <cellStyle name="Akcent 4 2 2" xfId="15642"/>
    <cellStyle name="Akcent 4 2 3" xfId="15643"/>
    <cellStyle name="Akcent 4 3" xfId="15644"/>
    <cellStyle name="Akcent 4 4" xfId="15645"/>
    <cellStyle name="Akcent 4 5" xfId="15646"/>
    <cellStyle name="Akcent 4 6" xfId="15647"/>
    <cellStyle name="Akcent 5 2" xfId="15648"/>
    <cellStyle name="Akcent 5 2 2" xfId="15649"/>
    <cellStyle name="Akcent 5 2 3" xfId="15650"/>
    <cellStyle name="Akcent 5 3" xfId="15651"/>
    <cellStyle name="Akcent 5 4" xfId="15652"/>
    <cellStyle name="Akcent 5 5" xfId="15653"/>
    <cellStyle name="Akcent 5 6" xfId="15654"/>
    <cellStyle name="Akcent 6 2" xfId="15655"/>
    <cellStyle name="Akcent 6 2 2" xfId="15656"/>
    <cellStyle name="Akcent 6 2 3" xfId="15657"/>
    <cellStyle name="Akcent 6 3" xfId="15658"/>
    <cellStyle name="Akcent 6 4" xfId="15659"/>
    <cellStyle name="Akcent 6 5" xfId="15660"/>
    <cellStyle name="Akcent 6 6" xfId="15661"/>
    <cellStyle name="čárky [0]_laroux" xfId="15662"/>
    <cellStyle name="čárky_laroux" xfId="15663"/>
    <cellStyle name="Check Cell 2" xfId="15664"/>
    <cellStyle name="Check Cell 2 2" xfId="15665"/>
    <cellStyle name="Check Cell 3" xfId="15666"/>
    <cellStyle name="Comma [0] 2" xfId="15667"/>
    <cellStyle name="Comma [0] 3" xfId="15668"/>
    <cellStyle name="Comma [0] 4" xfId="15669"/>
    <cellStyle name="Comma 10" xfId="15670"/>
    <cellStyle name="Comma 11" xfId="15671"/>
    <cellStyle name="Comma 12" xfId="15672"/>
    <cellStyle name="Comma 13" xfId="15673"/>
    <cellStyle name="Comma 14" xfId="15674"/>
    <cellStyle name="Comma 15" xfId="15675"/>
    <cellStyle name="Comma 16" xfId="15676"/>
    <cellStyle name="Comma 17" xfId="15677"/>
    <cellStyle name="Comma 18" xfId="15678"/>
    <cellStyle name="Comma 19" xfId="15679"/>
    <cellStyle name="Comma 2" xfId="15680"/>
    <cellStyle name="Comma 20" xfId="15681"/>
    <cellStyle name="Comma 21" xfId="15682"/>
    <cellStyle name="Comma 22" xfId="15683"/>
    <cellStyle name="Comma 23" xfId="15684"/>
    <cellStyle name="Comma 24" xfId="15685"/>
    <cellStyle name="Comma 25" xfId="15686"/>
    <cellStyle name="Comma 26" xfId="15687"/>
    <cellStyle name="Comma 27" xfId="15688"/>
    <cellStyle name="Comma 28" xfId="15689"/>
    <cellStyle name="Comma 29" xfId="15690"/>
    <cellStyle name="Comma 3" xfId="15691"/>
    <cellStyle name="Comma 30" xfId="15692"/>
    <cellStyle name="Comma 31" xfId="15693"/>
    <cellStyle name="Comma 32" xfId="15694"/>
    <cellStyle name="Comma 33" xfId="15695"/>
    <cellStyle name="Comma 34" xfId="15696"/>
    <cellStyle name="Comma 35" xfId="15697"/>
    <cellStyle name="Comma 36" xfId="15698"/>
    <cellStyle name="Comma 37" xfId="15699"/>
    <cellStyle name="Comma 38" xfId="15700"/>
    <cellStyle name="Comma 39" xfId="15701"/>
    <cellStyle name="Comma 4" xfId="15702"/>
    <cellStyle name="Comma 40" xfId="15703"/>
    <cellStyle name="Comma 41" xfId="15704"/>
    <cellStyle name="Comma 42" xfId="15705"/>
    <cellStyle name="Comma 43" xfId="15706"/>
    <cellStyle name="Comma 44" xfId="15707"/>
    <cellStyle name="Comma 45" xfId="15708"/>
    <cellStyle name="Comma 46" xfId="15709"/>
    <cellStyle name="Comma 47" xfId="15710"/>
    <cellStyle name="Comma 48" xfId="15711"/>
    <cellStyle name="Comma 49" xfId="15712"/>
    <cellStyle name="Comma 5" xfId="15713"/>
    <cellStyle name="Comma 50" xfId="15714"/>
    <cellStyle name="Comma 51" xfId="15715"/>
    <cellStyle name="Comma 52" xfId="15716"/>
    <cellStyle name="Comma 53" xfId="15717"/>
    <cellStyle name="Comma 54" xfId="15718"/>
    <cellStyle name="Comma 55" xfId="21782"/>
    <cellStyle name="Comma 6" xfId="15719"/>
    <cellStyle name="Comma 7" xfId="15720"/>
    <cellStyle name="Comma 8" xfId="15721"/>
    <cellStyle name="Comma 9" xfId="15722"/>
    <cellStyle name="Currency [0] 2" xfId="15723"/>
    <cellStyle name="Currency [0] 3" xfId="15724"/>
    <cellStyle name="Currency [0] 4" xfId="15725"/>
    <cellStyle name="Currency 10" xfId="15726"/>
    <cellStyle name="Currency 11" xfId="15727"/>
    <cellStyle name="Currency 12" xfId="15728"/>
    <cellStyle name="Currency 13" xfId="15729"/>
    <cellStyle name="Currency 14" xfId="15730"/>
    <cellStyle name="Currency 15" xfId="15731"/>
    <cellStyle name="Currency 16" xfId="15732"/>
    <cellStyle name="Currency 17" xfId="15733"/>
    <cellStyle name="Currency 18" xfId="15734"/>
    <cellStyle name="Currency 19" xfId="15735"/>
    <cellStyle name="Currency 2" xfId="15736"/>
    <cellStyle name="Currency 20" xfId="15737"/>
    <cellStyle name="Currency 21" xfId="15738"/>
    <cellStyle name="Currency 22" xfId="15739"/>
    <cellStyle name="Currency 23" xfId="15740"/>
    <cellStyle name="Currency 24" xfId="15741"/>
    <cellStyle name="Currency 25" xfId="15742"/>
    <cellStyle name="Currency 26" xfId="15743"/>
    <cellStyle name="Currency 27" xfId="15744"/>
    <cellStyle name="Currency 28" xfId="15745"/>
    <cellStyle name="Currency 29" xfId="15746"/>
    <cellStyle name="Currency 3" xfId="15747"/>
    <cellStyle name="Currency 30" xfId="15748"/>
    <cellStyle name="Currency 31" xfId="15749"/>
    <cellStyle name="Currency 32" xfId="15750"/>
    <cellStyle name="Currency 33" xfId="15751"/>
    <cellStyle name="Currency 34" xfId="15752"/>
    <cellStyle name="Currency 35" xfId="15753"/>
    <cellStyle name="Currency 36" xfId="15754"/>
    <cellStyle name="Currency 37" xfId="15755"/>
    <cellStyle name="Currency 38" xfId="15756"/>
    <cellStyle name="Currency 39" xfId="15757"/>
    <cellStyle name="Currency 4" xfId="15758"/>
    <cellStyle name="Currency 40" xfId="15759"/>
    <cellStyle name="Currency 41" xfId="15760"/>
    <cellStyle name="Currency 42" xfId="15761"/>
    <cellStyle name="Currency 43" xfId="15762"/>
    <cellStyle name="Currency 44" xfId="15763"/>
    <cellStyle name="Currency 45" xfId="15764"/>
    <cellStyle name="Currency 46" xfId="15765"/>
    <cellStyle name="Currency 47" xfId="15766"/>
    <cellStyle name="Currency 48" xfId="15767"/>
    <cellStyle name="Currency 49" xfId="15768"/>
    <cellStyle name="Currency 5" xfId="15769"/>
    <cellStyle name="Currency 50" xfId="15770"/>
    <cellStyle name="Currency 51" xfId="15771"/>
    <cellStyle name="Currency 52" xfId="15772"/>
    <cellStyle name="Currency 53" xfId="15773"/>
    <cellStyle name="Currency 54" xfId="15774"/>
    <cellStyle name="Currency 6" xfId="15775"/>
    <cellStyle name="Currency 7" xfId="15776"/>
    <cellStyle name="Currency 8" xfId="15777"/>
    <cellStyle name="Currency 9" xfId="15778"/>
    <cellStyle name="Dane wejściowe 2" xfId="15779"/>
    <cellStyle name="Dane wejściowe 2 2" xfId="15780"/>
    <cellStyle name="Dane wejściowe 2 3" xfId="15781"/>
    <cellStyle name="Dane wejściowe 3" xfId="15782"/>
    <cellStyle name="Dane wejściowe 4" xfId="15783"/>
    <cellStyle name="Dane wejściowe 5" xfId="15784"/>
    <cellStyle name="Dane wejściowe 6" xfId="15785"/>
    <cellStyle name="Dane wyjściowe 2" xfId="15786"/>
    <cellStyle name="Dane wyjściowe 2 2" xfId="15787"/>
    <cellStyle name="Dane wyjściowe 2 3" xfId="15788"/>
    <cellStyle name="Dane wyjściowe 3" xfId="15789"/>
    <cellStyle name="Dane wyjściowe 4" xfId="15790"/>
    <cellStyle name="Dane wyjściowe 5" xfId="15791"/>
    <cellStyle name="Dane wyjściowe 6" xfId="15792"/>
    <cellStyle name="Dobre 2" xfId="15793"/>
    <cellStyle name="Dobre 2 2" xfId="15794"/>
    <cellStyle name="Dobre 2 3" xfId="15795"/>
    <cellStyle name="Dobre 3" xfId="15796"/>
    <cellStyle name="Dobre 4" xfId="15797"/>
    <cellStyle name="Dobre 5" xfId="15798"/>
    <cellStyle name="Dobre 6" xfId="15799"/>
    <cellStyle name="Dziesiętny 10" xfId="25"/>
    <cellStyle name="Dziesiętny 10 3" xfId="21787"/>
    <cellStyle name="Dziesiętny 2" xfId="19"/>
    <cellStyle name="Dziesiętny 2 10" xfId="15800"/>
    <cellStyle name="Dziesiętny 2 2" xfId="15801"/>
    <cellStyle name="Dziesiętny 2 3" xfId="15802"/>
    <cellStyle name="Dziesiętny 2 4" xfId="15803"/>
    <cellStyle name="Dziesiętny 2 5" xfId="15804"/>
    <cellStyle name="Dziesiętny 2 6" xfId="15805"/>
    <cellStyle name="Dziesiętny 2 7" xfId="15806"/>
    <cellStyle name="Dziesiętny 2 8" xfId="15807"/>
    <cellStyle name="Dziesiętny 2 9" xfId="15808"/>
    <cellStyle name="Dziesiętny 3" xfId="15809"/>
    <cellStyle name="Dziesiętny 3 10" xfId="15810"/>
    <cellStyle name="Dziesiętny 3 2" xfId="15811"/>
    <cellStyle name="Dziesiętny 3 2 2" xfId="15812"/>
    <cellStyle name="Dziesiętny 3 3" xfId="15813"/>
    <cellStyle name="Dziesiętny 3 3 2" xfId="15814"/>
    <cellStyle name="Dziesiętny 3 3 2 2" xfId="15815"/>
    <cellStyle name="Dziesiętny 3 3 2 2 2" xfId="15816"/>
    <cellStyle name="Dziesiętny 3 3 2 2 3" xfId="15817"/>
    <cellStyle name="Dziesiętny 3 3 2 3" xfId="15818"/>
    <cellStyle name="Dziesiętny 3 3 3" xfId="15819"/>
    <cellStyle name="Dziesiętny 3 3 4" xfId="15820"/>
    <cellStyle name="Dziesiętny 3 4" xfId="15821"/>
    <cellStyle name="Dziesiętny 3 5" xfId="15822"/>
    <cellStyle name="Dziesiętny 3 5 2" xfId="15823"/>
    <cellStyle name="Dziesiętny 3 5 2 2" xfId="15824"/>
    <cellStyle name="Dziesiętny 3 5 2 3" xfId="15825"/>
    <cellStyle name="Dziesiętny 3 5 3" xfId="15826"/>
    <cellStyle name="Dziesiętny 3 5 4" xfId="15827"/>
    <cellStyle name="Dziesiętny 3 6" xfId="15828"/>
    <cellStyle name="Dziesiętny 3 6 2" xfId="15829"/>
    <cellStyle name="Dziesiętny 3 7" xfId="15830"/>
    <cellStyle name="Dziesiętny 3 8" xfId="15831"/>
    <cellStyle name="Dziesiętny 3 9" xfId="15832"/>
    <cellStyle name="Dziesiętny 4" xfId="15833"/>
    <cellStyle name="Dziesiętny 4 2" xfId="15834"/>
    <cellStyle name="Dziesiętny 4 2 2" xfId="15835"/>
    <cellStyle name="Dziesiętny 4 3" xfId="15836"/>
    <cellStyle name="Dziesiętny 4 3 2" xfId="15837"/>
    <cellStyle name="Dziesiętny 4 4" xfId="15838"/>
    <cellStyle name="Dziesiętny 4 5" xfId="15839"/>
    <cellStyle name="Dziesiętny 5" xfId="15840"/>
    <cellStyle name="Dziesiętny 5 10" xfId="15841"/>
    <cellStyle name="Dziesiętny 5 10 2" xfId="15842"/>
    <cellStyle name="Dziesiętny 5 10 2 2" xfId="15843"/>
    <cellStyle name="Dziesiętny 5 10 2 2 2" xfId="15844"/>
    <cellStyle name="Dziesiętny 5 10 2 2 3" xfId="15845"/>
    <cellStyle name="Dziesiętny 5 10 2 3" xfId="15846"/>
    <cellStyle name="Dziesiętny 5 10 2 4" xfId="15847"/>
    <cellStyle name="Dziesiętny 5 10 3" xfId="15848"/>
    <cellStyle name="Dziesiętny 5 10 3 2" xfId="15849"/>
    <cellStyle name="Dziesiętny 5 10 3 2 2" xfId="15850"/>
    <cellStyle name="Dziesiętny 5 10 3 2 3" xfId="15851"/>
    <cellStyle name="Dziesiętny 5 10 3 3" xfId="15852"/>
    <cellStyle name="Dziesiętny 5 10 3 4" xfId="15853"/>
    <cellStyle name="Dziesiętny 5 10 4" xfId="15854"/>
    <cellStyle name="Dziesiętny 5 10 4 2" xfId="15855"/>
    <cellStyle name="Dziesiętny 5 10 4 2 2" xfId="15856"/>
    <cellStyle name="Dziesiętny 5 10 4 2 3" xfId="15857"/>
    <cellStyle name="Dziesiętny 5 10 4 3" xfId="15858"/>
    <cellStyle name="Dziesiętny 5 10 4 4" xfId="15859"/>
    <cellStyle name="Dziesiętny 5 10 5" xfId="15860"/>
    <cellStyle name="Dziesiętny 5 10 5 2" xfId="15861"/>
    <cellStyle name="Dziesiętny 5 10 5 3" xfId="15862"/>
    <cellStyle name="Dziesiętny 5 10 6" xfId="15863"/>
    <cellStyle name="Dziesiętny 5 10 7" xfId="15864"/>
    <cellStyle name="Dziesiętny 5 11" xfId="15865"/>
    <cellStyle name="Dziesiętny 5 11 2" xfId="15866"/>
    <cellStyle name="Dziesiętny 5 11 2 2" xfId="15867"/>
    <cellStyle name="Dziesiętny 5 11 2 2 2" xfId="15868"/>
    <cellStyle name="Dziesiętny 5 11 2 2 3" xfId="15869"/>
    <cellStyle name="Dziesiętny 5 11 2 3" xfId="15870"/>
    <cellStyle name="Dziesiętny 5 11 2 4" xfId="15871"/>
    <cellStyle name="Dziesiętny 5 11 3" xfId="15872"/>
    <cellStyle name="Dziesiętny 5 11 3 2" xfId="15873"/>
    <cellStyle name="Dziesiętny 5 11 3 3" xfId="15874"/>
    <cellStyle name="Dziesiętny 5 11 4" xfId="15875"/>
    <cellStyle name="Dziesiętny 5 11 5" xfId="15876"/>
    <cellStyle name="Dziesiętny 5 12" xfId="15877"/>
    <cellStyle name="Dziesiętny 5 12 2" xfId="15878"/>
    <cellStyle name="Dziesiętny 5 12 2 2" xfId="15879"/>
    <cellStyle name="Dziesiętny 5 12 2 3" xfId="15880"/>
    <cellStyle name="Dziesiętny 5 12 3" xfId="15881"/>
    <cellStyle name="Dziesiętny 5 12 4" xfId="15882"/>
    <cellStyle name="Dziesiętny 5 13" xfId="15883"/>
    <cellStyle name="Dziesiętny 5 13 2" xfId="15884"/>
    <cellStyle name="Dziesiętny 5 13 2 2" xfId="15885"/>
    <cellStyle name="Dziesiętny 5 13 2 3" xfId="15886"/>
    <cellStyle name="Dziesiętny 5 13 3" xfId="15887"/>
    <cellStyle name="Dziesiętny 5 13 4" xfId="15888"/>
    <cellStyle name="Dziesiętny 5 14" xfId="15889"/>
    <cellStyle name="Dziesiętny 5 14 2" xfId="15890"/>
    <cellStyle name="Dziesiętny 5 14 2 2" xfId="15891"/>
    <cellStyle name="Dziesiętny 5 14 2 3" xfId="15892"/>
    <cellStyle name="Dziesiętny 5 14 3" xfId="15893"/>
    <cellStyle name="Dziesiętny 5 14 4" xfId="15894"/>
    <cellStyle name="Dziesiętny 5 15" xfId="15895"/>
    <cellStyle name="Dziesiętny 5 15 2" xfId="15896"/>
    <cellStyle name="Dziesiętny 5 15 3" xfId="15897"/>
    <cellStyle name="Dziesiętny 5 16" xfId="15898"/>
    <cellStyle name="Dziesiętny 5 17" xfId="15899"/>
    <cellStyle name="Dziesiętny 5 2" xfId="15900"/>
    <cellStyle name="Dziesiętny 5 2 10" xfId="15901"/>
    <cellStyle name="Dziesiętny 5 2 11" xfId="15902"/>
    <cellStyle name="Dziesiętny 5 2 2" xfId="15903"/>
    <cellStyle name="Dziesiętny 5 2 2 10" xfId="15904"/>
    <cellStyle name="Dziesiętny 5 2 2 11" xfId="15905"/>
    <cellStyle name="Dziesiętny 5 2 2 2" xfId="15906"/>
    <cellStyle name="Dziesiętny 5 2 2 2 10" xfId="15907"/>
    <cellStyle name="Dziesiętny 5 2 2 2 2" xfId="15908"/>
    <cellStyle name="Dziesiętny 5 2 2 2 2 2" xfId="15909"/>
    <cellStyle name="Dziesiętny 5 2 2 2 2 2 2" xfId="15910"/>
    <cellStyle name="Dziesiętny 5 2 2 2 2 2 2 2" xfId="15911"/>
    <cellStyle name="Dziesiętny 5 2 2 2 2 2 2 3" xfId="15912"/>
    <cellStyle name="Dziesiętny 5 2 2 2 2 2 3" xfId="15913"/>
    <cellStyle name="Dziesiętny 5 2 2 2 2 2 4" xfId="15914"/>
    <cellStyle name="Dziesiętny 5 2 2 2 2 3" xfId="15915"/>
    <cellStyle name="Dziesiętny 5 2 2 2 2 3 2" xfId="15916"/>
    <cellStyle name="Dziesiętny 5 2 2 2 2 3 2 2" xfId="15917"/>
    <cellStyle name="Dziesiętny 5 2 2 2 2 3 2 3" xfId="15918"/>
    <cellStyle name="Dziesiętny 5 2 2 2 2 3 3" xfId="15919"/>
    <cellStyle name="Dziesiętny 5 2 2 2 2 3 4" xfId="15920"/>
    <cellStyle name="Dziesiętny 5 2 2 2 2 4" xfId="15921"/>
    <cellStyle name="Dziesiętny 5 2 2 2 2 4 2" xfId="15922"/>
    <cellStyle name="Dziesiętny 5 2 2 2 2 4 2 2" xfId="15923"/>
    <cellStyle name="Dziesiętny 5 2 2 2 2 4 2 3" xfId="15924"/>
    <cellStyle name="Dziesiętny 5 2 2 2 2 4 3" xfId="15925"/>
    <cellStyle name="Dziesiętny 5 2 2 2 2 4 4" xfId="15926"/>
    <cellStyle name="Dziesiętny 5 2 2 2 2 5" xfId="15927"/>
    <cellStyle name="Dziesiętny 5 2 2 2 2 5 2" xfId="15928"/>
    <cellStyle name="Dziesiętny 5 2 2 2 2 5 3" xfId="15929"/>
    <cellStyle name="Dziesiętny 5 2 2 2 2 6" xfId="15930"/>
    <cellStyle name="Dziesiętny 5 2 2 2 2 7" xfId="15931"/>
    <cellStyle name="Dziesiętny 5 2 2 2 3" xfId="15932"/>
    <cellStyle name="Dziesiętny 5 2 2 2 3 2" xfId="15933"/>
    <cellStyle name="Dziesiętny 5 2 2 2 3 2 2" xfId="15934"/>
    <cellStyle name="Dziesiętny 5 2 2 2 3 2 2 2" xfId="15935"/>
    <cellStyle name="Dziesiętny 5 2 2 2 3 2 2 3" xfId="15936"/>
    <cellStyle name="Dziesiętny 5 2 2 2 3 2 3" xfId="15937"/>
    <cellStyle name="Dziesiętny 5 2 2 2 3 2 4" xfId="15938"/>
    <cellStyle name="Dziesiętny 5 2 2 2 3 3" xfId="15939"/>
    <cellStyle name="Dziesiętny 5 2 2 2 3 3 2" xfId="15940"/>
    <cellStyle name="Dziesiętny 5 2 2 2 3 3 2 2" xfId="15941"/>
    <cellStyle name="Dziesiętny 5 2 2 2 3 3 2 3" xfId="15942"/>
    <cellStyle name="Dziesiętny 5 2 2 2 3 3 3" xfId="15943"/>
    <cellStyle name="Dziesiętny 5 2 2 2 3 3 4" xfId="15944"/>
    <cellStyle name="Dziesiętny 5 2 2 2 3 4" xfId="15945"/>
    <cellStyle name="Dziesiętny 5 2 2 2 3 4 2" xfId="15946"/>
    <cellStyle name="Dziesiętny 5 2 2 2 3 4 2 2" xfId="15947"/>
    <cellStyle name="Dziesiętny 5 2 2 2 3 4 2 3" xfId="15948"/>
    <cellStyle name="Dziesiętny 5 2 2 2 3 4 3" xfId="15949"/>
    <cellStyle name="Dziesiętny 5 2 2 2 3 4 4" xfId="15950"/>
    <cellStyle name="Dziesiętny 5 2 2 2 3 5" xfId="15951"/>
    <cellStyle name="Dziesiętny 5 2 2 2 3 5 2" xfId="15952"/>
    <cellStyle name="Dziesiętny 5 2 2 2 3 5 3" xfId="15953"/>
    <cellStyle name="Dziesiętny 5 2 2 2 3 6" xfId="15954"/>
    <cellStyle name="Dziesiętny 5 2 2 2 3 7" xfId="15955"/>
    <cellStyle name="Dziesiętny 5 2 2 2 4" xfId="15956"/>
    <cellStyle name="Dziesiętny 5 2 2 2 4 2" xfId="15957"/>
    <cellStyle name="Dziesiętny 5 2 2 2 4 2 2" xfId="15958"/>
    <cellStyle name="Dziesiętny 5 2 2 2 4 2 2 2" xfId="15959"/>
    <cellStyle name="Dziesiętny 5 2 2 2 4 2 2 3" xfId="15960"/>
    <cellStyle name="Dziesiętny 5 2 2 2 4 2 3" xfId="15961"/>
    <cellStyle name="Dziesiętny 5 2 2 2 4 2 4" xfId="15962"/>
    <cellStyle name="Dziesiętny 5 2 2 2 4 3" xfId="15963"/>
    <cellStyle name="Dziesiętny 5 2 2 2 4 3 2" xfId="15964"/>
    <cellStyle name="Dziesiętny 5 2 2 2 4 3 3" xfId="15965"/>
    <cellStyle name="Dziesiętny 5 2 2 2 4 4" xfId="15966"/>
    <cellStyle name="Dziesiętny 5 2 2 2 4 5" xfId="15967"/>
    <cellStyle name="Dziesiętny 5 2 2 2 5" xfId="15968"/>
    <cellStyle name="Dziesiętny 5 2 2 2 5 2" xfId="15969"/>
    <cellStyle name="Dziesiętny 5 2 2 2 5 2 2" xfId="15970"/>
    <cellStyle name="Dziesiętny 5 2 2 2 5 2 3" xfId="15971"/>
    <cellStyle name="Dziesiętny 5 2 2 2 5 3" xfId="15972"/>
    <cellStyle name="Dziesiętny 5 2 2 2 5 4" xfId="15973"/>
    <cellStyle name="Dziesiętny 5 2 2 2 6" xfId="15974"/>
    <cellStyle name="Dziesiętny 5 2 2 2 6 2" xfId="15975"/>
    <cellStyle name="Dziesiętny 5 2 2 2 6 2 2" xfId="15976"/>
    <cellStyle name="Dziesiętny 5 2 2 2 6 2 3" xfId="15977"/>
    <cellStyle name="Dziesiętny 5 2 2 2 6 3" xfId="15978"/>
    <cellStyle name="Dziesiętny 5 2 2 2 6 4" xfId="15979"/>
    <cellStyle name="Dziesiętny 5 2 2 2 7" xfId="15980"/>
    <cellStyle name="Dziesiętny 5 2 2 2 7 2" xfId="15981"/>
    <cellStyle name="Dziesiętny 5 2 2 2 7 2 2" xfId="15982"/>
    <cellStyle name="Dziesiętny 5 2 2 2 7 2 3" xfId="15983"/>
    <cellStyle name="Dziesiętny 5 2 2 2 7 3" xfId="15984"/>
    <cellStyle name="Dziesiętny 5 2 2 2 7 4" xfId="15985"/>
    <cellStyle name="Dziesiętny 5 2 2 2 8" xfId="15986"/>
    <cellStyle name="Dziesiętny 5 2 2 2 8 2" xfId="15987"/>
    <cellStyle name="Dziesiętny 5 2 2 2 8 3" xfId="15988"/>
    <cellStyle name="Dziesiętny 5 2 2 2 9" xfId="15989"/>
    <cellStyle name="Dziesiętny 5 2 2 3" xfId="15990"/>
    <cellStyle name="Dziesiętny 5 2 2 3 2" xfId="15991"/>
    <cellStyle name="Dziesiętny 5 2 2 3 2 2" xfId="15992"/>
    <cellStyle name="Dziesiętny 5 2 2 3 2 2 2" xfId="15993"/>
    <cellStyle name="Dziesiętny 5 2 2 3 2 2 3" xfId="15994"/>
    <cellStyle name="Dziesiętny 5 2 2 3 2 3" xfId="15995"/>
    <cellStyle name="Dziesiętny 5 2 2 3 2 4" xfId="15996"/>
    <cellStyle name="Dziesiętny 5 2 2 3 3" xfId="15997"/>
    <cellStyle name="Dziesiętny 5 2 2 3 3 2" xfId="15998"/>
    <cellStyle name="Dziesiętny 5 2 2 3 3 2 2" xfId="15999"/>
    <cellStyle name="Dziesiętny 5 2 2 3 3 2 3" xfId="16000"/>
    <cellStyle name="Dziesiętny 5 2 2 3 3 3" xfId="16001"/>
    <cellStyle name="Dziesiętny 5 2 2 3 3 4" xfId="16002"/>
    <cellStyle name="Dziesiętny 5 2 2 3 4" xfId="16003"/>
    <cellStyle name="Dziesiętny 5 2 2 3 4 2" xfId="16004"/>
    <cellStyle name="Dziesiętny 5 2 2 3 4 2 2" xfId="16005"/>
    <cellStyle name="Dziesiętny 5 2 2 3 4 2 3" xfId="16006"/>
    <cellStyle name="Dziesiętny 5 2 2 3 4 3" xfId="16007"/>
    <cellStyle name="Dziesiętny 5 2 2 3 4 4" xfId="16008"/>
    <cellStyle name="Dziesiętny 5 2 2 3 5" xfId="16009"/>
    <cellStyle name="Dziesiętny 5 2 2 3 5 2" xfId="16010"/>
    <cellStyle name="Dziesiętny 5 2 2 3 5 3" xfId="16011"/>
    <cellStyle name="Dziesiętny 5 2 2 3 6" xfId="16012"/>
    <cellStyle name="Dziesiętny 5 2 2 3 7" xfId="16013"/>
    <cellStyle name="Dziesiętny 5 2 2 4" xfId="16014"/>
    <cellStyle name="Dziesiętny 5 2 2 4 2" xfId="16015"/>
    <cellStyle name="Dziesiętny 5 2 2 4 2 2" xfId="16016"/>
    <cellStyle name="Dziesiętny 5 2 2 4 2 2 2" xfId="16017"/>
    <cellStyle name="Dziesiętny 5 2 2 4 2 2 3" xfId="16018"/>
    <cellStyle name="Dziesiętny 5 2 2 4 2 3" xfId="16019"/>
    <cellStyle name="Dziesiętny 5 2 2 4 2 4" xfId="16020"/>
    <cellStyle name="Dziesiętny 5 2 2 4 3" xfId="16021"/>
    <cellStyle name="Dziesiętny 5 2 2 4 3 2" xfId="16022"/>
    <cellStyle name="Dziesiętny 5 2 2 4 3 2 2" xfId="16023"/>
    <cellStyle name="Dziesiętny 5 2 2 4 3 2 3" xfId="16024"/>
    <cellStyle name="Dziesiętny 5 2 2 4 3 3" xfId="16025"/>
    <cellStyle name="Dziesiętny 5 2 2 4 3 4" xfId="16026"/>
    <cellStyle name="Dziesiętny 5 2 2 4 4" xfId="16027"/>
    <cellStyle name="Dziesiętny 5 2 2 4 4 2" xfId="16028"/>
    <cellStyle name="Dziesiętny 5 2 2 4 4 2 2" xfId="16029"/>
    <cellStyle name="Dziesiętny 5 2 2 4 4 2 3" xfId="16030"/>
    <cellStyle name="Dziesiętny 5 2 2 4 4 3" xfId="16031"/>
    <cellStyle name="Dziesiętny 5 2 2 4 4 4" xfId="16032"/>
    <cellStyle name="Dziesiętny 5 2 2 4 5" xfId="16033"/>
    <cellStyle name="Dziesiętny 5 2 2 4 5 2" xfId="16034"/>
    <cellStyle name="Dziesiętny 5 2 2 4 5 3" xfId="16035"/>
    <cellStyle name="Dziesiętny 5 2 2 4 6" xfId="16036"/>
    <cellStyle name="Dziesiętny 5 2 2 4 7" xfId="16037"/>
    <cellStyle name="Dziesiętny 5 2 2 5" xfId="16038"/>
    <cellStyle name="Dziesiętny 5 2 2 5 2" xfId="16039"/>
    <cellStyle name="Dziesiętny 5 2 2 5 2 2" xfId="16040"/>
    <cellStyle name="Dziesiętny 5 2 2 5 2 2 2" xfId="16041"/>
    <cellStyle name="Dziesiętny 5 2 2 5 2 2 3" xfId="16042"/>
    <cellStyle name="Dziesiętny 5 2 2 5 2 3" xfId="16043"/>
    <cellStyle name="Dziesiętny 5 2 2 5 2 4" xfId="16044"/>
    <cellStyle name="Dziesiętny 5 2 2 5 3" xfId="16045"/>
    <cellStyle name="Dziesiętny 5 2 2 5 3 2" xfId="16046"/>
    <cellStyle name="Dziesiętny 5 2 2 5 3 3" xfId="16047"/>
    <cellStyle name="Dziesiętny 5 2 2 5 4" xfId="16048"/>
    <cellStyle name="Dziesiętny 5 2 2 5 5" xfId="16049"/>
    <cellStyle name="Dziesiętny 5 2 2 6" xfId="16050"/>
    <cellStyle name="Dziesiętny 5 2 2 6 2" xfId="16051"/>
    <cellStyle name="Dziesiętny 5 2 2 6 2 2" xfId="16052"/>
    <cellStyle name="Dziesiętny 5 2 2 6 2 3" xfId="16053"/>
    <cellStyle name="Dziesiętny 5 2 2 6 3" xfId="16054"/>
    <cellStyle name="Dziesiętny 5 2 2 6 4" xfId="16055"/>
    <cellStyle name="Dziesiętny 5 2 2 7" xfId="16056"/>
    <cellStyle name="Dziesiętny 5 2 2 7 2" xfId="16057"/>
    <cellStyle name="Dziesiętny 5 2 2 7 2 2" xfId="16058"/>
    <cellStyle name="Dziesiętny 5 2 2 7 2 3" xfId="16059"/>
    <cellStyle name="Dziesiętny 5 2 2 7 3" xfId="16060"/>
    <cellStyle name="Dziesiętny 5 2 2 7 4" xfId="16061"/>
    <cellStyle name="Dziesiętny 5 2 2 8" xfId="16062"/>
    <cellStyle name="Dziesiętny 5 2 2 8 2" xfId="16063"/>
    <cellStyle name="Dziesiętny 5 2 2 8 2 2" xfId="16064"/>
    <cellStyle name="Dziesiętny 5 2 2 8 2 3" xfId="16065"/>
    <cellStyle name="Dziesiętny 5 2 2 8 3" xfId="16066"/>
    <cellStyle name="Dziesiętny 5 2 2 8 4" xfId="16067"/>
    <cellStyle name="Dziesiętny 5 2 2 9" xfId="16068"/>
    <cellStyle name="Dziesiętny 5 2 2 9 2" xfId="16069"/>
    <cellStyle name="Dziesiętny 5 2 2 9 3" xfId="16070"/>
    <cellStyle name="Dziesiętny 5 2 3" xfId="16071"/>
    <cellStyle name="Dziesiętny 5 2 4" xfId="16072"/>
    <cellStyle name="Dziesiętny 5 2 4 2" xfId="16073"/>
    <cellStyle name="Dziesiętny 5 2 4 2 2" xfId="16074"/>
    <cellStyle name="Dziesiętny 5 2 4 2 2 2" xfId="16075"/>
    <cellStyle name="Dziesiętny 5 2 4 2 2 3" xfId="16076"/>
    <cellStyle name="Dziesiętny 5 2 4 2 3" xfId="16077"/>
    <cellStyle name="Dziesiętny 5 2 4 2 4" xfId="16078"/>
    <cellStyle name="Dziesiętny 5 2 4 3" xfId="16079"/>
    <cellStyle name="Dziesiętny 5 2 4 3 2" xfId="16080"/>
    <cellStyle name="Dziesiętny 5 2 4 3 2 2" xfId="16081"/>
    <cellStyle name="Dziesiętny 5 2 4 3 2 3" xfId="16082"/>
    <cellStyle name="Dziesiętny 5 2 4 3 3" xfId="16083"/>
    <cellStyle name="Dziesiętny 5 2 4 3 4" xfId="16084"/>
    <cellStyle name="Dziesiętny 5 2 4 4" xfId="16085"/>
    <cellStyle name="Dziesiętny 5 2 4 4 2" xfId="16086"/>
    <cellStyle name="Dziesiętny 5 2 4 4 2 2" xfId="16087"/>
    <cellStyle name="Dziesiętny 5 2 4 4 2 3" xfId="16088"/>
    <cellStyle name="Dziesiętny 5 2 4 4 3" xfId="16089"/>
    <cellStyle name="Dziesiętny 5 2 4 4 4" xfId="16090"/>
    <cellStyle name="Dziesiętny 5 2 4 5" xfId="16091"/>
    <cellStyle name="Dziesiętny 5 2 4 5 2" xfId="16092"/>
    <cellStyle name="Dziesiętny 5 2 4 5 3" xfId="16093"/>
    <cellStyle name="Dziesiętny 5 2 4 6" xfId="16094"/>
    <cellStyle name="Dziesiętny 5 2 4 7" xfId="16095"/>
    <cellStyle name="Dziesiętny 5 2 5" xfId="16096"/>
    <cellStyle name="Dziesiętny 5 2 5 2" xfId="16097"/>
    <cellStyle name="Dziesiętny 5 2 5 2 2" xfId="16098"/>
    <cellStyle name="Dziesiętny 5 2 5 2 2 2" xfId="16099"/>
    <cellStyle name="Dziesiętny 5 2 5 2 2 3" xfId="16100"/>
    <cellStyle name="Dziesiętny 5 2 5 2 3" xfId="16101"/>
    <cellStyle name="Dziesiętny 5 2 5 2 4" xfId="16102"/>
    <cellStyle name="Dziesiętny 5 2 5 3" xfId="16103"/>
    <cellStyle name="Dziesiętny 5 2 5 3 2" xfId="16104"/>
    <cellStyle name="Dziesiętny 5 2 5 3 2 2" xfId="16105"/>
    <cellStyle name="Dziesiętny 5 2 5 3 2 3" xfId="16106"/>
    <cellStyle name="Dziesiętny 5 2 5 3 3" xfId="16107"/>
    <cellStyle name="Dziesiętny 5 2 5 3 4" xfId="16108"/>
    <cellStyle name="Dziesiętny 5 2 5 4" xfId="16109"/>
    <cellStyle name="Dziesiętny 5 2 5 4 2" xfId="16110"/>
    <cellStyle name="Dziesiętny 5 2 5 4 2 2" xfId="16111"/>
    <cellStyle name="Dziesiętny 5 2 5 4 2 3" xfId="16112"/>
    <cellStyle name="Dziesiętny 5 2 5 4 3" xfId="16113"/>
    <cellStyle name="Dziesiętny 5 2 5 4 4" xfId="16114"/>
    <cellStyle name="Dziesiętny 5 2 5 5" xfId="16115"/>
    <cellStyle name="Dziesiętny 5 2 5 5 2" xfId="16116"/>
    <cellStyle name="Dziesiętny 5 2 5 5 3" xfId="16117"/>
    <cellStyle name="Dziesiętny 5 2 5 6" xfId="16118"/>
    <cellStyle name="Dziesiętny 5 2 5 7" xfId="16119"/>
    <cellStyle name="Dziesiętny 5 2 6" xfId="16120"/>
    <cellStyle name="Dziesiętny 5 2 6 2" xfId="16121"/>
    <cellStyle name="Dziesiętny 5 2 6 2 2" xfId="16122"/>
    <cellStyle name="Dziesiętny 5 2 6 2 2 2" xfId="16123"/>
    <cellStyle name="Dziesiętny 5 2 6 2 2 3" xfId="16124"/>
    <cellStyle name="Dziesiętny 5 2 6 2 3" xfId="16125"/>
    <cellStyle name="Dziesiętny 5 2 6 2 4" xfId="16126"/>
    <cellStyle name="Dziesiętny 5 2 6 3" xfId="16127"/>
    <cellStyle name="Dziesiętny 5 2 6 3 2" xfId="16128"/>
    <cellStyle name="Dziesiętny 5 2 6 3 3" xfId="16129"/>
    <cellStyle name="Dziesiętny 5 2 6 4" xfId="16130"/>
    <cellStyle name="Dziesiętny 5 2 6 5" xfId="16131"/>
    <cellStyle name="Dziesiętny 5 2 7" xfId="16132"/>
    <cellStyle name="Dziesiętny 5 2 7 2" xfId="16133"/>
    <cellStyle name="Dziesiętny 5 2 7 2 2" xfId="16134"/>
    <cellStyle name="Dziesiętny 5 2 7 2 3" xfId="16135"/>
    <cellStyle name="Dziesiętny 5 2 7 3" xfId="16136"/>
    <cellStyle name="Dziesiętny 5 2 7 4" xfId="16137"/>
    <cellStyle name="Dziesiętny 5 2 8" xfId="16138"/>
    <cellStyle name="Dziesiętny 5 2 8 2" xfId="16139"/>
    <cellStyle name="Dziesiętny 5 2 8 3" xfId="16140"/>
    <cellStyle name="Dziesiętny 5 2 9" xfId="16141"/>
    <cellStyle name="Dziesiętny 5 3" xfId="16142"/>
    <cellStyle name="Dziesiętny 5 3 2" xfId="16143"/>
    <cellStyle name="Dziesiętny 5 3 2 2" xfId="16144"/>
    <cellStyle name="Dziesiętny 5 3 2 2 2" xfId="16145"/>
    <cellStyle name="Dziesiętny 5 3 2 2 2 2" xfId="16146"/>
    <cellStyle name="Dziesiętny 5 3 2 2 2 2 2" xfId="16147"/>
    <cellStyle name="Dziesiętny 5 3 2 2 2 2 3" xfId="16148"/>
    <cellStyle name="Dziesiętny 5 3 2 2 2 3" xfId="16149"/>
    <cellStyle name="Dziesiętny 5 3 2 2 2 4" xfId="16150"/>
    <cellStyle name="Dziesiętny 5 3 2 2 3" xfId="16151"/>
    <cellStyle name="Dziesiętny 5 3 2 2 3 2" xfId="16152"/>
    <cellStyle name="Dziesiętny 5 3 2 2 3 2 2" xfId="16153"/>
    <cellStyle name="Dziesiętny 5 3 2 2 3 2 3" xfId="16154"/>
    <cellStyle name="Dziesiętny 5 3 2 2 3 3" xfId="16155"/>
    <cellStyle name="Dziesiętny 5 3 2 2 3 4" xfId="16156"/>
    <cellStyle name="Dziesiętny 5 3 2 2 4" xfId="16157"/>
    <cellStyle name="Dziesiętny 5 3 2 2 4 2" xfId="16158"/>
    <cellStyle name="Dziesiętny 5 3 2 2 4 2 2" xfId="16159"/>
    <cellStyle name="Dziesiętny 5 3 2 2 4 2 3" xfId="16160"/>
    <cellStyle name="Dziesiętny 5 3 2 2 4 3" xfId="16161"/>
    <cellStyle name="Dziesiętny 5 3 2 2 4 4" xfId="16162"/>
    <cellStyle name="Dziesiętny 5 3 2 2 5" xfId="16163"/>
    <cellStyle name="Dziesiętny 5 3 2 2 5 2" xfId="16164"/>
    <cellStyle name="Dziesiętny 5 3 2 2 5 3" xfId="16165"/>
    <cellStyle name="Dziesiętny 5 3 2 2 6" xfId="16166"/>
    <cellStyle name="Dziesiętny 5 3 2 2 7" xfId="16167"/>
    <cellStyle name="Dziesiętny 5 3 2 3" xfId="16168"/>
    <cellStyle name="Dziesiętny 5 3 2 3 2" xfId="16169"/>
    <cellStyle name="Dziesiętny 5 3 2 3 2 2" xfId="16170"/>
    <cellStyle name="Dziesiętny 5 3 2 3 2 2 2" xfId="16171"/>
    <cellStyle name="Dziesiętny 5 3 2 3 2 2 3" xfId="16172"/>
    <cellStyle name="Dziesiętny 5 3 2 3 2 3" xfId="16173"/>
    <cellStyle name="Dziesiętny 5 3 2 3 2 4" xfId="16174"/>
    <cellStyle name="Dziesiętny 5 3 2 3 3" xfId="16175"/>
    <cellStyle name="Dziesiętny 5 3 2 3 3 2" xfId="16176"/>
    <cellStyle name="Dziesiętny 5 3 2 3 3 2 2" xfId="16177"/>
    <cellStyle name="Dziesiętny 5 3 2 3 3 2 3" xfId="16178"/>
    <cellStyle name="Dziesiętny 5 3 2 3 3 3" xfId="16179"/>
    <cellStyle name="Dziesiętny 5 3 2 3 3 4" xfId="16180"/>
    <cellStyle name="Dziesiętny 5 3 2 3 4" xfId="16181"/>
    <cellStyle name="Dziesiętny 5 3 2 3 4 2" xfId="16182"/>
    <cellStyle name="Dziesiętny 5 3 2 3 4 2 2" xfId="16183"/>
    <cellStyle name="Dziesiętny 5 3 2 3 4 2 3" xfId="16184"/>
    <cellStyle name="Dziesiętny 5 3 2 3 4 3" xfId="16185"/>
    <cellStyle name="Dziesiętny 5 3 2 3 4 4" xfId="16186"/>
    <cellStyle name="Dziesiętny 5 3 2 3 5" xfId="16187"/>
    <cellStyle name="Dziesiętny 5 3 2 3 5 2" xfId="16188"/>
    <cellStyle name="Dziesiętny 5 3 2 3 5 3" xfId="16189"/>
    <cellStyle name="Dziesiętny 5 3 2 3 6" xfId="16190"/>
    <cellStyle name="Dziesiętny 5 3 2 3 7" xfId="16191"/>
    <cellStyle name="Dziesiętny 5 3 2 4" xfId="16192"/>
    <cellStyle name="Dziesiętny 5 3 2 4 2" xfId="16193"/>
    <cellStyle name="Dziesiętny 5 3 2 4 2 2" xfId="16194"/>
    <cellStyle name="Dziesiętny 5 3 2 4 2 2 2" xfId="16195"/>
    <cellStyle name="Dziesiętny 5 3 2 4 2 2 3" xfId="16196"/>
    <cellStyle name="Dziesiętny 5 3 2 4 2 3" xfId="16197"/>
    <cellStyle name="Dziesiętny 5 3 2 4 2 4" xfId="16198"/>
    <cellStyle name="Dziesiętny 5 3 2 4 3" xfId="16199"/>
    <cellStyle name="Dziesiętny 5 3 2 4 3 2" xfId="16200"/>
    <cellStyle name="Dziesiętny 5 3 2 4 3 3" xfId="16201"/>
    <cellStyle name="Dziesiętny 5 3 2 4 4" xfId="16202"/>
    <cellStyle name="Dziesiętny 5 3 2 4 5" xfId="16203"/>
    <cellStyle name="Dziesiętny 5 3 2 5" xfId="16204"/>
    <cellStyle name="Dziesiętny 5 3 2 6" xfId="16205"/>
    <cellStyle name="Dziesiętny 5 3 2 6 2" xfId="16206"/>
    <cellStyle name="Dziesiętny 5 3 2 6 2 2" xfId="16207"/>
    <cellStyle name="Dziesiętny 5 3 2 6 2 3" xfId="16208"/>
    <cellStyle name="Dziesiętny 5 3 2 6 3" xfId="16209"/>
    <cellStyle name="Dziesiętny 5 3 2 6 4" xfId="16210"/>
    <cellStyle name="Dziesiętny 5 3 2 7" xfId="16211"/>
    <cellStyle name="Dziesiętny 5 3 2 7 2" xfId="16212"/>
    <cellStyle name="Dziesiętny 5 3 2 7 3" xfId="16213"/>
    <cellStyle name="Dziesiętny 5 3 2 8" xfId="16214"/>
    <cellStyle name="Dziesiętny 5 3 2 9" xfId="16215"/>
    <cellStyle name="Dziesiętny 5 3 3" xfId="16216"/>
    <cellStyle name="Dziesiętny 5 3 3 2" xfId="16217"/>
    <cellStyle name="Dziesiętny 5 3 3 2 2" xfId="16218"/>
    <cellStyle name="Dziesiętny 5 3 3 2 2 2" xfId="16219"/>
    <cellStyle name="Dziesiętny 5 3 3 2 2 2 2" xfId="16220"/>
    <cellStyle name="Dziesiętny 5 3 3 2 2 2 3" xfId="16221"/>
    <cellStyle name="Dziesiętny 5 3 3 2 2 3" xfId="16222"/>
    <cellStyle name="Dziesiętny 5 3 3 2 2 4" xfId="16223"/>
    <cellStyle name="Dziesiętny 5 3 3 2 3" xfId="16224"/>
    <cellStyle name="Dziesiętny 5 3 3 2 3 2" xfId="16225"/>
    <cellStyle name="Dziesiętny 5 3 3 2 3 2 2" xfId="16226"/>
    <cellStyle name="Dziesiętny 5 3 3 2 3 2 3" xfId="16227"/>
    <cellStyle name="Dziesiętny 5 3 3 2 3 3" xfId="16228"/>
    <cellStyle name="Dziesiętny 5 3 3 2 3 4" xfId="16229"/>
    <cellStyle name="Dziesiętny 5 3 3 2 4" xfId="16230"/>
    <cellStyle name="Dziesiętny 5 3 3 2 4 2" xfId="16231"/>
    <cellStyle name="Dziesiętny 5 3 3 2 4 2 2" xfId="16232"/>
    <cellStyle name="Dziesiętny 5 3 3 2 4 2 3" xfId="16233"/>
    <cellStyle name="Dziesiętny 5 3 3 2 4 3" xfId="16234"/>
    <cellStyle name="Dziesiętny 5 3 3 2 4 4" xfId="16235"/>
    <cellStyle name="Dziesiętny 5 3 3 2 5" xfId="16236"/>
    <cellStyle name="Dziesiętny 5 3 3 2 5 2" xfId="16237"/>
    <cellStyle name="Dziesiętny 5 3 3 2 5 3" xfId="16238"/>
    <cellStyle name="Dziesiętny 5 3 3 2 6" xfId="16239"/>
    <cellStyle name="Dziesiętny 5 3 3 2 7" xfId="16240"/>
    <cellStyle name="Dziesiętny 5 3 3 3" xfId="16241"/>
    <cellStyle name="Dziesiętny 5 3 3 3 2" xfId="16242"/>
    <cellStyle name="Dziesiętny 5 3 3 3 2 2" xfId="16243"/>
    <cellStyle name="Dziesiętny 5 3 3 3 2 2 2" xfId="16244"/>
    <cellStyle name="Dziesiętny 5 3 3 3 2 2 3" xfId="16245"/>
    <cellStyle name="Dziesiętny 5 3 3 3 2 3" xfId="16246"/>
    <cellStyle name="Dziesiętny 5 3 3 3 2 4" xfId="16247"/>
    <cellStyle name="Dziesiętny 5 3 3 3 3" xfId="16248"/>
    <cellStyle name="Dziesiętny 5 3 3 3 3 2" xfId="16249"/>
    <cellStyle name="Dziesiętny 5 3 3 3 3 2 2" xfId="16250"/>
    <cellStyle name="Dziesiętny 5 3 3 3 3 2 3" xfId="16251"/>
    <cellStyle name="Dziesiętny 5 3 3 3 3 3" xfId="16252"/>
    <cellStyle name="Dziesiętny 5 3 3 3 3 4" xfId="16253"/>
    <cellStyle name="Dziesiętny 5 3 3 3 4" xfId="16254"/>
    <cellStyle name="Dziesiętny 5 3 3 3 4 2" xfId="16255"/>
    <cellStyle name="Dziesiętny 5 3 3 3 4 2 2" xfId="16256"/>
    <cellStyle name="Dziesiętny 5 3 3 3 4 2 3" xfId="16257"/>
    <cellStyle name="Dziesiętny 5 3 3 3 4 3" xfId="16258"/>
    <cellStyle name="Dziesiętny 5 3 3 3 4 4" xfId="16259"/>
    <cellStyle name="Dziesiętny 5 3 3 3 5" xfId="16260"/>
    <cellStyle name="Dziesiętny 5 3 3 3 5 2" xfId="16261"/>
    <cellStyle name="Dziesiętny 5 3 3 3 5 3" xfId="16262"/>
    <cellStyle name="Dziesiętny 5 3 3 3 6" xfId="16263"/>
    <cellStyle name="Dziesiętny 5 3 3 3 7" xfId="16264"/>
    <cellStyle name="Dziesiętny 5 3 3 4" xfId="16265"/>
    <cellStyle name="Dziesiętny 5 3 3 4 2" xfId="16266"/>
    <cellStyle name="Dziesiętny 5 3 3 4 2 2" xfId="16267"/>
    <cellStyle name="Dziesiętny 5 3 3 4 2 3" xfId="16268"/>
    <cellStyle name="Dziesiętny 5 3 3 4 3" xfId="16269"/>
    <cellStyle name="Dziesiętny 5 3 3 4 4" xfId="16270"/>
    <cellStyle name="Dziesiętny 5 3 3 5" xfId="16271"/>
    <cellStyle name="Dziesiętny 5 3 3 5 2" xfId="16272"/>
    <cellStyle name="Dziesiętny 5 3 3 5 2 2" xfId="16273"/>
    <cellStyle name="Dziesiętny 5 3 3 5 2 3" xfId="16274"/>
    <cellStyle name="Dziesiętny 5 3 3 5 3" xfId="16275"/>
    <cellStyle name="Dziesiętny 5 3 3 5 4" xfId="16276"/>
    <cellStyle name="Dziesiętny 5 3 3 6" xfId="16277"/>
    <cellStyle name="Dziesiętny 5 3 3 6 2" xfId="16278"/>
    <cellStyle name="Dziesiętny 5 3 3 6 2 2" xfId="16279"/>
    <cellStyle name="Dziesiętny 5 3 3 6 2 3" xfId="16280"/>
    <cellStyle name="Dziesiętny 5 3 3 6 3" xfId="16281"/>
    <cellStyle name="Dziesiętny 5 3 3 6 4" xfId="16282"/>
    <cellStyle name="Dziesiętny 5 3 3 7" xfId="16283"/>
    <cellStyle name="Dziesiętny 5 3 3 7 2" xfId="16284"/>
    <cellStyle name="Dziesiętny 5 3 3 7 3" xfId="16285"/>
    <cellStyle name="Dziesiętny 5 3 3 8" xfId="16286"/>
    <cellStyle name="Dziesiętny 5 3 3 9" xfId="16287"/>
    <cellStyle name="Dziesiętny 5 3 4" xfId="16288"/>
    <cellStyle name="Dziesiętny 5 3 4 2" xfId="16289"/>
    <cellStyle name="Dziesiętny 5 3 4 2 2" xfId="16290"/>
    <cellStyle name="Dziesiętny 5 3 4 2 3" xfId="16291"/>
    <cellStyle name="Dziesiętny 5 3 4 3" xfId="16292"/>
    <cellStyle name="Dziesiętny 5 3 4 4" xfId="16293"/>
    <cellStyle name="Dziesiętny 5 3 5" xfId="16294"/>
    <cellStyle name="Dziesiętny 5 3 5 2" xfId="16295"/>
    <cellStyle name="Dziesiętny 5 3 5 2 2" xfId="16296"/>
    <cellStyle name="Dziesiętny 5 3 5 2 3" xfId="16297"/>
    <cellStyle name="Dziesiętny 5 3 5 3" xfId="16298"/>
    <cellStyle name="Dziesiętny 5 3 5 4" xfId="16299"/>
    <cellStyle name="Dziesiętny 5 4" xfId="16300"/>
    <cellStyle name="Dziesiętny 5 4 2" xfId="16301"/>
    <cellStyle name="Dziesiętny 5 4 2 2" xfId="16302"/>
    <cellStyle name="Dziesiętny 5 4 2 3" xfId="16303"/>
    <cellStyle name="Dziesiętny 5 4 2 3 2" xfId="16304"/>
    <cellStyle name="Dziesiętny 5 4 2 3 2 2" xfId="16305"/>
    <cellStyle name="Dziesiętny 5 4 2 3 2 3" xfId="16306"/>
    <cellStyle name="Dziesiętny 5 4 2 3 3" xfId="16307"/>
    <cellStyle name="Dziesiętny 5 4 2 3 4" xfId="16308"/>
    <cellStyle name="Dziesiętny 5 4 2 4" xfId="16309"/>
    <cellStyle name="Dziesiętny 5 4 2 4 2" xfId="16310"/>
    <cellStyle name="Dziesiętny 5 4 2 4 2 2" xfId="16311"/>
    <cellStyle name="Dziesiętny 5 4 2 4 2 3" xfId="16312"/>
    <cellStyle name="Dziesiętny 5 4 2 4 3" xfId="16313"/>
    <cellStyle name="Dziesiętny 5 4 2 4 4" xfId="16314"/>
    <cellStyle name="Dziesiętny 5 4 3" xfId="16315"/>
    <cellStyle name="Dziesiętny 5 4 3 2" xfId="16316"/>
    <cellStyle name="Dziesiętny 5 4 3 2 2" xfId="16317"/>
    <cellStyle name="Dziesiętny 5 4 3 2 2 2" xfId="16318"/>
    <cellStyle name="Dziesiętny 5 4 3 2 2 3" xfId="16319"/>
    <cellStyle name="Dziesiętny 5 4 3 2 3" xfId="16320"/>
    <cellStyle name="Dziesiętny 5 4 3 2 4" xfId="16321"/>
    <cellStyle name="Dziesiętny 5 4 3 3" xfId="16322"/>
    <cellStyle name="Dziesiętny 5 4 3 3 2" xfId="16323"/>
    <cellStyle name="Dziesiętny 5 4 3 3 2 2" xfId="16324"/>
    <cellStyle name="Dziesiętny 5 4 3 3 2 3" xfId="16325"/>
    <cellStyle name="Dziesiętny 5 4 3 3 3" xfId="16326"/>
    <cellStyle name="Dziesiętny 5 4 3 3 4" xfId="16327"/>
    <cellStyle name="Dziesiętny 5 4 3 4" xfId="16328"/>
    <cellStyle name="Dziesiętny 5 4 3 4 2" xfId="16329"/>
    <cellStyle name="Dziesiętny 5 4 3 4 2 2" xfId="16330"/>
    <cellStyle name="Dziesiętny 5 4 3 4 2 3" xfId="16331"/>
    <cellStyle name="Dziesiętny 5 4 3 4 3" xfId="16332"/>
    <cellStyle name="Dziesiętny 5 4 3 4 4" xfId="16333"/>
    <cellStyle name="Dziesiętny 5 4 3 5" xfId="16334"/>
    <cellStyle name="Dziesiętny 5 4 3 5 2" xfId="16335"/>
    <cellStyle name="Dziesiętny 5 4 3 5 3" xfId="16336"/>
    <cellStyle name="Dziesiętny 5 4 3 6" xfId="16337"/>
    <cellStyle name="Dziesiętny 5 4 3 7" xfId="16338"/>
    <cellStyle name="Dziesiętny 5 4 4" xfId="16339"/>
    <cellStyle name="Dziesiętny 5 4 4 2" xfId="16340"/>
    <cellStyle name="Dziesiętny 5 4 4 2 2" xfId="16341"/>
    <cellStyle name="Dziesiętny 5 4 4 2 2 2" xfId="16342"/>
    <cellStyle name="Dziesiętny 5 4 4 2 2 3" xfId="16343"/>
    <cellStyle name="Dziesiętny 5 4 4 2 3" xfId="16344"/>
    <cellStyle name="Dziesiętny 5 4 4 2 4" xfId="16345"/>
    <cellStyle name="Dziesiętny 5 4 4 3" xfId="16346"/>
    <cellStyle name="Dziesiętny 5 4 4 3 2" xfId="16347"/>
    <cellStyle name="Dziesiętny 5 4 4 3 2 2" xfId="16348"/>
    <cellStyle name="Dziesiętny 5 4 4 3 2 3" xfId="16349"/>
    <cellStyle name="Dziesiętny 5 4 4 3 3" xfId="16350"/>
    <cellStyle name="Dziesiętny 5 4 4 3 4" xfId="16351"/>
    <cellStyle name="Dziesiętny 5 4 4 4" xfId="16352"/>
    <cellStyle name="Dziesiętny 5 4 4 4 2" xfId="16353"/>
    <cellStyle name="Dziesiętny 5 4 4 4 2 2" xfId="16354"/>
    <cellStyle name="Dziesiętny 5 4 4 4 2 3" xfId="16355"/>
    <cellStyle name="Dziesiętny 5 4 4 4 3" xfId="16356"/>
    <cellStyle name="Dziesiętny 5 4 4 4 4" xfId="16357"/>
    <cellStyle name="Dziesiętny 5 4 4 5" xfId="16358"/>
    <cellStyle name="Dziesiętny 5 4 4 5 2" xfId="16359"/>
    <cellStyle name="Dziesiętny 5 4 4 5 3" xfId="16360"/>
    <cellStyle name="Dziesiętny 5 4 4 6" xfId="16361"/>
    <cellStyle name="Dziesiętny 5 4 4 7" xfId="16362"/>
    <cellStyle name="Dziesiętny 5 4 5" xfId="16363"/>
    <cellStyle name="Dziesiętny 5 4 5 2" xfId="16364"/>
    <cellStyle name="Dziesiętny 5 4 5 2 2" xfId="16365"/>
    <cellStyle name="Dziesiętny 5 4 5 2 2 2" xfId="16366"/>
    <cellStyle name="Dziesiętny 5 4 5 2 2 3" xfId="16367"/>
    <cellStyle name="Dziesiętny 5 4 5 2 3" xfId="16368"/>
    <cellStyle name="Dziesiętny 5 4 5 2 4" xfId="16369"/>
    <cellStyle name="Dziesiętny 5 4 5 3" xfId="16370"/>
    <cellStyle name="Dziesiętny 5 4 5 3 2" xfId="16371"/>
    <cellStyle name="Dziesiętny 5 4 5 3 3" xfId="16372"/>
    <cellStyle name="Dziesiętny 5 4 5 4" xfId="16373"/>
    <cellStyle name="Dziesiętny 5 4 5 5" xfId="16374"/>
    <cellStyle name="Dziesiętny 5 4 6" xfId="16375"/>
    <cellStyle name="Dziesiętny 5 4 6 2" xfId="16376"/>
    <cellStyle name="Dziesiętny 5 4 6 2 2" xfId="16377"/>
    <cellStyle name="Dziesiętny 5 4 6 2 3" xfId="16378"/>
    <cellStyle name="Dziesiętny 5 4 6 3" xfId="16379"/>
    <cellStyle name="Dziesiętny 5 4 6 4" xfId="16380"/>
    <cellStyle name="Dziesiętny 5 4 7" xfId="16381"/>
    <cellStyle name="Dziesiętny 5 4 7 2" xfId="16382"/>
    <cellStyle name="Dziesiętny 5 4 7 3" xfId="16383"/>
    <cellStyle name="Dziesiętny 5 4 8" xfId="16384"/>
    <cellStyle name="Dziesiętny 5 4 9" xfId="16385"/>
    <cellStyle name="Dziesiętny 5 5" xfId="16386"/>
    <cellStyle name="Dziesiętny 5 5 10" xfId="16387"/>
    <cellStyle name="Dziesiętny 5 5 2" xfId="16388"/>
    <cellStyle name="Dziesiętny 5 5 2 2" xfId="16389"/>
    <cellStyle name="Dziesiętny 5 5 2 2 2" xfId="16390"/>
    <cellStyle name="Dziesiętny 5 5 2 2 2 2" xfId="16391"/>
    <cellStyle name="Dziesiętny 5 5 2 2 2 3" xfId="16392"/>
    <cellStyle name="Dziesiętny 5 5 2 2 3" xfId="16393"/>
    <cellStyle name="Dziesiętny 5 5 2 2 4" xfId="16394"/>
    <cellStyle name="Dziesiętny 5 5 2 3" xfId="16395"/>
    <cellStyle name="Dziesiętny 5 5 2 3 2" xfId="16396"/>
    <cellStyle name="Dziesiętny 5 5 2 3 2 2" xfId="16397"/>
    <cellStyle name="Dziesiętny 5 5 2 3 2 3" xfId="16398"/>
    <cellStyle name="Dziesiętny 5 5 2 3 3" xfId="16399"/>
    <cellStyle name="Dziesiętny 5 5 2 3 4" xfId="16400"/>
    <cellStyle name="Dziesiętny 5 5 2 4" xfId="16401"/>
    <cellStyle name="Dziesiętny 5 5 2 4 2" xfId="16402"/>
    <cellStyle name="Dziesiętny 5 5 2 4 2 2" xfId="16403"/>
    <cellStyle name="Dziesiętny 5 5 2 4 2 3" xfId="16404"/>
    <cellStyle name="Dziesiętny 5 5 2 4 3" xfId="16405"/>
    <cellStyle name="Dziesiętny 5 5 2 4 4" xfId="16406"/>
    <cellStyle name="Dziesiętny 5 5 2 5" xfId="16407"/>
    <cellStyle name="Dziesiętny 5 5 2 5 2" xfId="16408"/>
    <cellStyle name="Dziesiętny 5 5 2 5 3" xfId="16409"/>
    <cellStyle name="Dziesiętny 5 5 2 6" xfId="16410"/>
    <cellStyle name="Dziesiętny 5 5 2 7" xfId="16411"/>
    <cellStyle name="Dziesiętny 5 5 3" xfId="16412"/>
    <cellStyle name="Dziesiętny 5 5 3 2" xfId="16413"/>
    <cellStyle name="Dziesiętny 5 5 3 2 2" xfId="16414"/>
    <cellStyle name="Dziesiętny 5 5 3 2 2 2" xfId="16415"/>
    <cellStyle name="Dziesiętny 5 5 3 2 2 3" xfId="16416"/>
    <cellStyle name="Dziesiętny 5 5 3 2 3" xfId="16417"/>
    <cellStyle name="Dziesiętny 5 5 3 2 4" xfId="16418"/>
    <cellStyle name="Dziesiętny 5 5 3 3" xfId="16419"/>
    <cellStyle name="Dziesiętny 5 5 3 3 2" xfId="16420"/>
    <cellStyle name="Dziesiętny 5 5 3 3 2 2" xfId="16421"/>
    <cellStyle name="Dziesiętny 5 5 3 3 2 3" xfId="16422"/>
    <cellStyle name="Dziesiętny 5 5 3 3 3" xfId="16423"/>
    <cellStyle name="Dziesiętny 5 5 3 3 4" xfId="16424"/>
    <cellStyle name="Dziesiętny 5 5 3 4" xfId="16425"/>
    <cellStyle name="Dziesiętny 5 5 3 4 2" xfId="16426"/>
    <cellStyle name="Dziesiętny 5 5 3 4 2 2" xfId="16427"/>
    <cellStyle name="Dziesiętny 5 5 3 4 2 3" xfId="16428"/>
    <cellStyle name="Dziesiętny 5 5 3 4 3" xfId="16429"/>
    <cellStyle name="Dziesiętny 5 5 3 4 4" xfId="16430"/>
    <cellStyle name="Dziesiętny 5 5 3 5" xfId="16431"/>
    <cellStyle name="Dziesiętny 5 5 3 5 2" xfId="16432"/>
    <cellStyle name="Dziesiętny 5 5 3 5 3" xfId="16433"/>
    <cellStyle name="Dziesiętny 5 5 3 6" xfId="16434"/>
    <cellStyle name="Dziesiętny 5 5 3 7" xfId="16435"/>
    <cellStyle name="Dziesiętny 5 5 4" xfId="16436"/>
    <cellStyle name="Dziesiętny 5 5 4 2" xfId="16437"/>
    <cellStyle name="Dziesiętny 5 5 4 2 2" xfId="16438"/>
    <cellStyle name="Dziesiętny 5 5 4 2 2 2" xfId="16439"/>
    <cellStyle name="Dziesiętny 5 5 4 2 2 3" xfId="16440"/>
    <cellStyle name="Dziesiętny 5 5 4 2 3" xfId="16441"/>
    <cellStyle name="Dziesiętny 5 5 4 2 4" xfId="16442"/>
    <cellStyle name="Dziesiętny 5 5 4 3" xfId="16443"/>
    <cellStyle name="Dziesiętny 5 5 4 3 2" xfId="16444"/>
    <cellStyle name="Dziesiętny 5 5 4 3 3" xfId="16445"/>
    <cellStyle name="Dziesiętny 5 5 4 4" xfId="16446"/>
    <cellStyle name="Dziesiętny 5 5 4 5" xfId="16447"/>
    <cellStyle name="Dziesiętny 5 5 5" xfId="16448"/>
    <cellStyle name="Dziesiętny 5 5 5 2" xfId="16449"/>
    <cellStyle name="Dziesiętny 5 5 5 2 2" xfId="16450"/>
    <cellStyle name="Dziesiętny 5 5 5 2 3" xfId="16451"/>
    <cellStyle name="Dziesiętny 5 5 5 3" xfId="16452"/>
    <cellStyle name="Dziesiętny 5 5 5 4" xfId="16453"/>
    <cellStyle name="Dziesiętny 5 5 6" xfId="16454"/>
    <cellStyle name="Dziesiętny 5 5 6 2" xfId="16455"/>
    <cellStyle name="Dziesiętny 5 5 6 2 2" xfId="16456"/>
    <cellStyle name="Dziesiętny 5 5 6 2 3" xfId="16457"/>
    <cellStyle name="Dziesiętny 5 5 6 3" xfId="16458"/>
    <cellStyle name="Dziesiętny 5 5 6 4" xfId="16459"/>
    <cellStyle name="Dziesiętny 5 5 7" xfId="16460"/>
    <cellStyle name="Dziesiętny 5 5 7 2" xfId="16461"/>
    <cellStyle name="Dziesiętny 5 5 7 2 2" xfId="16462"/>
    <cellStyle name="Dziesiętny 5 5 7 2 3" xfId="16463"/>
    <cellStyle name="Dziesiętny 5 5 7 3" xfId="16464"/>
    <cellStyle name="Dziesiętny 5 5 7 4" xfId="16465"/>
    <cellStyle name="Dziesiętny 5 5 8" xfId="16466"/>
    <cellStyle name="Dziesiętny 5 5 8 2" xfId="16467"/>
    <cellStyle name="Dziesiętny 5 5 8 3" xfId="16468"/>
    <cellStyle name="Dziesiętny 5 5 9" xfId="16469"/>
    <cellStyle name="Dziesiętny 5 6" xfId="16470"/>
    <cellStyle name="Dziesiętny 5 6 2" xfId="16471"/>
    <cellStyle name="Dziesiętny 5 6 2 2" xfId="16472"/>
    <cellStyle name="Dziesiętny 5 6 2 2 2" xfId="16473"/>
    <cellStyle name="Dziesiętny 5 6 2 2 2 2" xfId="16474"/>
    <cellStyle name="Dziesiętny 5 6 2 2 2 3" xfId="16475"/>
    <cellStyle name="Dziesiętny 5 6 2 2 3" xfId="16476"/>
    <cellStyle name="Dziesiętny 5 6 2 2 4" xfId="16477"/>
    <cellStyle name="Dziesiętny 5 6 2 3" xfId="16478"/>
    <cellStyle name="Dziesiętny 5 6 2 3 2" xfId="16479"/>
    <cellStyle name="Dziesiętny 5 6 2 3 2 2" xfId="16480"/>
    <cellStyle name="Dziesiętny 5 6 2 3 2 3" xfId="16481"/>
    <cellStyle name="Dziesiętny 5 6 2 3 3" xfId="16482"/>
    <cellStyle name="Dziesiętny 5 6 2 3 4" xfId="16483"/>
    <cellStyle name="Dziesiętny 5 6 2 4" xfId="16484"/>
    <cellStyle name="Dziesiętny 5 6 2 4 2" xfId="16485"/>
    <cellStyle name="Dziesiętny 5 6 2 4 2 2" xfId="16486"/>
    <cellStyle name="Dziesiętny 5 6 2 4 2 3" xfId="16487"/>
    <cellStyle name="Dziesiętny 5 6 2 4 3" xfId="16488"/>
    <cellStyle name="Dziesiętny 5 6 2 4 4" xfId="16489"/>
    <cellStyle name="Dziesiętny 5 6 2 5" xfId="16490"/>
    <cellStyle name="Dziesiętny 5 6 2 5 2" xfId="16491"/>
    <cellStyle name="Dziesiętny 5 6 2 5 3" xfId="16492"/>
    <cellStyle name="Dziesiętny 5 6 2 6" xfId="16493"/>
    <cellStyle name="Dziesiętny 5 6 2 7" xfId="16494"/>
    <cellStyle name="Dziesiętny 5 6 3" xfId="16495"/>
    <cellStyle name="Dziesiętny 5 6 3 2" xfId="16496"/>
    <cellStyle name="Dziesiętny 5 6 3 2 2" xfId="16497"/>
    <cellStyle name="Dziesiętny 5 6 3 2 2 2" xfId="16498"/>
    <cellStyle name="Dziesiętny 5 6 3 2 2 3" xfId="16499"/>
    <cellStyle name="Dziesiętny 5 6 3 2 3" xfId="16500"/>
    <cellStyle name="Dziesiętny 5 6 3 2 4" xfId="16501"/>
    <cellStyle name="Dziesiętny 5 6 3 3" xfId="16502"/>
    <cellStyle name="Dziesiętny 5 6 3 3 2" xfId="16503"/>
    <cellStyle name="Dziesiętny 5 6 3 3 2 2" xfId="16504"/>
    <cellStyle name="Dziesiętny 5 6 3 3 2 3" xfId="16505"/>
    <cellStyle name="Dziesiętny 5 6 3 3 3" xfId="16506"/>
    <cellStyle name="Dziesiętny 5 6 3 3 4" xfId="16507"/>
    <cellStyle name="Dziesiętny 5 6 3 4" xfId="16508"/>
    <cellStyle name="Dziesiętny 5 6 3 4 2" xfId="16509"/>
    <cellStyle name="Dziesiętny 5 6 3 4 2 2" xfId="16510"/>
    <cellStyle name="Dziesiętny 5 6 3 4 2 3" xfId="16511"/>
    <cellStyle name="Dziesiętny 5 6 3 4 3" xfId="16512"/>
    <cellStyle name="Dziesiętny 5 6 3 4 4" xfId="16513"/>
    <cellStyle name="Dziesiętny 5 6 3 5" xfId="16514"/>
    <cellStyle name="Dziesiętny 5 6 3 5 2" xfId="16515"/>
    <cellStyle name="Dziesiętny 5 6 3 5 3" xfId="16516"/>
    <cellStyle name="Dziesiętny 5 6 3 6" xfId="16517"/>
    <cellStyle name="Dziesiętny 5 6 3 7" xfId="16518"/>
    <cellStyle name="Dziesiętny 5 6 4" xfId="16519"/>
    <cellStyle name="Dziesiętny 5 6 4 2" xfId="16520"/>
    <cellStyle name="Dziesiętny 5 6 4 2 2" xfId="16521"/>
    <cellStyle name="Dziesiętny 5 6 4 2 3" xfId="16522"/>
    <cellStyle name="Dziesiętny 5 6 4 3" xfId="16523"/>
    <cellStyle name="Dziesiętny 5 6 4 4" xfId="16524"/>
    <cellStyle name="Dziesiętny 5 6 5" xfId="16525"/>
    <cellStyle name="Dziesiętny 5 6 5 2" xfId="16526"/>
    <cellStyle name="Dziesiętny 5 6 5 2 2" xfId="16527"/>
    <cellStyle name="Dziesiętny 5 6 5 2 3" xfId="16528"/>
    <cellStyle name="Dziesiętny 5 6 5 3" xfId="16529"/>
    <cellStyle name="Dziesiętny 5 6 5 4" xfId="16530"/>
    <cellStyle name="Dziesiętny 5 6 6" xfId="16531"/>
    <cellStyle name="Dziesiętny 5 6 6 2" xfId="16532"/>
    <cellStyle name="Dziesiętny 5 6 6 2 2" xfId="16533"/>
    <cellStyle name="Dziesiętny 5 6 6 2 3" xfId="16534"/>
    <cellStyle name="Dziesiętny 5 6 6 3" xfId="16535"/>
    <cellStyle name="Dziesiętny 5 6 6 4" xfId="16536"/>
    <cellStyle name="Dziesiętny 5 6 7" xfId="16537"/>
    <cellStyle name="Dziesiętny 5 6 7 2" xfId="16538"/>
    <cellStyle name="Dziesiętny 5 6 7 3" xfId="16539"/>
    <cellStyle name="Dziesiętny 5 6 8" xfId="16540"/>
    <cellStyle name="Dziesiętny 5 6 9" xfId="16541"/>
    <cellStyle name="Dziesiętny 5 7" xfId="16542"/>
    <cellStyle name="Dziesiętny 5 7 2" xfId="16543"/>
    <cellStyle name="Dziesiętny 5 7 2 2" xfId="16544"/>
    <cellStyle name="Dziesiętny 5 7 2 2 2" xfId="16545"/>
    <cellStyle name="Dziesiętny 5 7 2 2 2 2" xfId="16546"/>
    <cellStyle name="Dziesiętny 5 7 2 2 2 3" xfId="16547"/>
    <cellStyle name="Dziesiętny 5 7 2 2 3" xfId="16548"/>
    <cellStyle name="Dziesiętny 5 7 2 2 4" xfId="16549"/>
    <cellStyle name="Dziesiętny 5 7 2 3" xfId="16550"/>
    <cellStyle name="Dziesiętny 5 7 2 3 2" xfId="16551"/>
    <cellStyle name="Dziesiętny 5 7 2 3 2 2" xfId="16552"/>
    <cellStyle name="Dziesiętny 5 7 2 3 2 3" xfId="16553"/>
    <cellStyle name="Dziesiętny 5 7 2 3 3" xfId="16554"/>
    <cellStyle name="Dziesiętny 5 7 2 3 4" xfId="16555"/>
    <cellStyle name="Dziesiętny 5 7 2 4" xfId="16556"/>
    <cellStyle name="Dziesiętny 5 7 2 4 2" xfId="16557"/>
    <cellStyle name="Dziesiętny 5 7 2 4 2 2" xfId="16558"/>
    <cellStyle name="Dziesiętny 5 7 2 4 2 3" xfId="16559"/>
    <cellStyle name="Dziesiętny 5 7 2 4 3" xfId="16560"/>
    <cellStyle name="Dziesiętny 5 7 2 4 4" xfId="16561"/>
    <cellStyle name="Dziesiętny 5 7 2 5" xfId="16562"/>
    <cellStyle name="Dziesiętny 5 7 2 5 2" xfId="16563"/>
    <cellStyle name="Dziesiętny 5 7 2 5 3" xfId="16564"/>
    <cellStyle name="Dziesiętny 5 7 2 6" xfId="16565"/>
    <cellStyle name="Dziesiętny 5 7 2 7" xfId="16566"/>
    <cellStyle name="Dziesiętny 5 7 3" xfId="16567"/>
    <cellStyle name="Dziesiętny 5 7 3 2" xfId="16568"/>
    <cellStyle name="Dziesiętny 5 7 3 2 2" xfId="16569"/>
    <cellStyle name="Dziesiętny 5 7 3 2 2 2" xfId="16570"/>
    <cellStyle name="Dziesiętny 5 7 3 2 2 3" xfId="16571"/>
    <cellStyle name="Dziesiętny 5 7 3 2 3" xfId="16572"/>
    <cellStyle name="Dziesiętny 5 7 3 2 4" xfId="16573"/>
    <cellStyle name="Dziesiętny 5 7 3 3" xfId="16574"/>
    <cellStyle name="Dziesiętny 5 7 3 3 2" xfId="16575"/>
    <cellStyle name="Dziesiętny 5 7 3 3 2 2" xfId="16576"/>
    <cellStyle name="Dziesiętny 5 7 3 3 2 3" xfId="16577"/>
    <cellStyle name="Dziesiętny 5 7 3 3 3" xfId="16578"/>
    <cellStyle name="Dziesiętny 5 7 3 3 4" xfId="16579"/>
    <cellStyle name="Dziesiętny 5 7 3 4" xfId="16580"/>
    <cellStyle name="Dziesiętny 5 7 3 4 2" xfId="16581"/>
    <cellStyle name="Dziesiętny 5 7 3 4 2 2" xfId="16582"/>
    <cellStyle name="Dziesiętny 5 7 3 4 2 3" xfId="16583"/>
    <cellStyle name="Dziesiętny 5 7 3 4 3" xfId="16584"/>
    <cellStyle name="Dziesiętny 5 7 3 4 4" xfId="16585"/>
    <cellStyle name="Dziesiętny 5 7 3 5" xfId="16586"/>
    <cellStyle name="Dziesiętny 5 7 3 5 2" xfId="16587"/>
    <cellStyle name="Dziesiętny 5 7 3 5 3" xfId="16588"/>
    <cellStyle name="Dziesiętny 5 7 3 6" xfId="16589"/>
    <cellStyle name="Dziesiętny 5 7 3 7" xfId="16590"/>
    <cellStyle name="Dziesiętny 5 7 4" xfId="16591"/>
    <cellStyle name="Dziesiętny 5 7 4 2" xfId="16592"/>
    <cellStyle name="Dziesiętny 5 7 4 2 2" xfId="16593"/>
    <cellStyle name="Dziesiętny 5 7 4 2 3" xfId="16594"/>
    <cellStyle name="Dziesiętny 5 7 4 3" xfId="16595"/>
    <cellStyle name="Dziesiętny 5 7 4 4" xfId="16596"/>
    <cellStyle name="Dziesiętny 5 7 5" xfId="16597"/>
    <cellStyle name="Dziesiętny 5 7 5 2" xfId="16598"/>
    <cellStyle name="Dziesiętny 5 7 5 2 2" xfId="16599"/>
    <cellStyle name="Dziesiętny 5 7 5 2 3" xfId="16600"/>
    <cellStyle name="Dziesiętny 5 7 5 3" xfId="16601"/>
    <cellStyle name="Dziesiętny 5 7 5 4" xfId="16602"/>
    <cellStyle name="Dziesiętny 5 7 6" xfId="16603"/>
    <cellStyle name="Dziesiętny 5 7 6 2" xfId="16604"/>
    <cellStyle name="Dziesiętny 5 7 6 2 2" xfId="16605"/>
    <cellStyle name="Dziesiętny 5 7 6 2 3" xfId="16606"/>
    <cellStyle name="Dziesiętny 5 7 6 3" xfId="16607"/>
    <cellStyle name="Dziesiętny 5 7 6 4" xfId="16608"/>
    <cellStyle name="Dziesiętny 5 7 7" xfId="16609"/>
    <cellStyle name="Dziesiętny 5 7 7 2" xfId="16610"/>
    <cellStyle name="Dziesiętny 5 7 7 3" xfId="16611"/>
    <cellStyle name="Dziesiętny 5 7 8" xfId="16612"/>
    <cellStyle name="Dziesiętny 5 7 9" xfId="16613"/>
    <cellStyle name="Dziesiętny 5 8" xfId="16614"/>
    <cellStyle name="Dziesiętny 5 8 2" xfId="16615"/>
    <cellStyle name="Dziesiętny 5 8 2 2" xfId="16616"/>
    <cellStyle name="Dziesiętny 5 8 2 2 2" xfId="16617"/>
    <cellStyle name="Dziesiętny 5 8 2 2 2 2" xfId="16618"/>
    <cellStyle name="Dziesiętny 5 8 2 2 2 3" xfId="16619"/>
    <cellStyle name="Dziesiętny 5 8 2 2 3" xfId="16620"/>
    <cellStyle name="Dziesiętny 5 8 2 2 4" xfId="16621"/>
    <cellStyle name="Dziesiętny 5 8 2 3" xfId="16622"/>
    <cellStyle name="Dziesiętny 5 8 2 3 2" xfId="16623"/>
    <cellStyle name="Dziesiętny 5 8 2 3 2 2" xfId="16624"/>
    <cellStyle name="Dziesiętny 5 8 2 3 2 3" xfId="16625"/>
    <cellStyle name="Dziesiętny 5 8 2 3 3" xfId="16626"/>
    <cellStyle name="Dziesiętny 5 8 2 3 4" xfId="16627"/>
    <cellStyle name="Dziesiętny 5 8 2 4" xfId="16628"/>
    <cellStyle name="Dziesiętny 5 8 2 4 2" xfId="16629"/>
    <cellStyle name="Dziesiętny 5 8 2 4 2 2" xfId="16630"/>
    <cellStyle name="Dziesiętny 5 8 2 4 2 3" xfId="16631"/>
    <cellStyle name="Dziesiętny 5 8 2 4 3" xfId="16632"/>
    <cellStyle name="Dziesiętny 5 8 2 4 4" xfId="16633"/>
    <cellStyle name="Dziesiętny 5 8 2 5" xfId="16634"/>
    <cellStyle name="Dziesiętny 5 8 2 5 2" xfId="16635"/>
    <cellStyle name="Dziesiętny 5 8 2 5 3" xfId="16636"/>
    <cellStyle name="Dziesiętny 5 8 2 6" xfId="16637"/>
    <cellStyle name="Dziesiętny 5 8 2 7" xfId="16638"/>
    <cellStyle name="Dziesiętny 5 8 3" xfId="16639"/>
    <cellStyle name="Dziesiętny 5 8 3 2" xfId="16640"/>
    <cellStyle name="Dziesiętny 5 8 3 2 2" xfId="16641"/>
    <cellStyle name="Dziesiętny 5 8 3 2 3" xfId="16642"/>
    <cellStyle name="Dziesiętny 5 8 3 3" xfId="16643"/>
    <cellStyle name="Dziesiętny 5 8 3 4" xfId="16644"/>
    <cellStyle name="Dziesiętny 5 8 4" xfId="16645"/>
    <cellStyle name="Dziesiętny 5 8 4 2" xfId="16646"/>
    <cellStyle name="Dziesiętny 5 8 4 2 2" xfId="16647"/>
    <cellStyle name="Dziesiętny 5 8 4 2 3" xfId="16648"/>
    <cellStyle name="Dziesiętny 5 8 4 3" xfId="16649"/>
    <cellStyle name="Dziesiętny 5 8 4 4" xfId="16650"/>
    <cellStyle name="Dziesiętny 5 8 5" xfId="16651"/>
    <cellStyle name="Dziesiętny 5 8 5 2" xfId="16652"/>
    <cellStyle name="Dziesiętny 5 8 5 2 2" xfId="16653"/>
    <cellStyle name="Dziesiętny 5 8 5 2 3" xfId="16654"/>
    <cellStyle name="Dziesiętny 5 8 5 3" xfId="16655"/>
    <cellStyle name="Dziesiętny 5 8 5 4" xfId="16656"/>
    <cellStyle name="Dziesiętny 5 8 6" xfId="16657"/>
    <cellStyle name="Dziesiętny 5 8 6 2" xfId="16658"/>
    <cellStyle name="Dziesiętny 5 8 6 3" xfId="16659"/>
    <cellStyle name="Dziesiętny 5 8 7" xfId="16660"/>
    <cellStyle name="Dziesiętny 5 8 8" xfId="16661"/>
    <cellStyle name="Dziesiętny 5 9" xfId="16662"/>
    <cellStyle name="Dziesiętny 5 9 2" xfId="16663"/>
    <cellStyle name="Dziesiętny 5 9 2 2" xfId="16664"/>
    <cellStyle name="Dziesiętny 5 9 2 2 2" xfId="16665"/>
    <cellStyle name="Dziesiętny 5 9 2 2 2 2" xfId="16666"/>
    <cellStyle name="Dziesiętny 5 9 2 2 2 3" xfId="16667"/>
    <cellStyle name="Dziesiętny 5 9 2 2 3" xfId="16668"/>
    <cellStyle name="Dziesiętny 5 9 2 2 4" xfId="16669"/>
    <cellStyle name="Dziesiętny 5 9 2 3" xfId="16670"/>
    <cellStyle name="Dziesiętny 5 9 2 3 2" xfId="16671"/>
    <cellStyle name="Dziesiętny 5 9 2 3 2 2" xfId="16672"/>
    <cellStyle name="Dziesiętny 5 9 2 3 2 3" xfId="16673"/>
    <cellStyle name="Dziesiętny 5 9 2 3 3" xfId="16674"/>
    <cellStyle name="Dziesiętny 5 9 2 3 4" xfId="16675"/>
    <cellStyle name="Dziesiętny 5 9 2 4" xfId="16676"/>
    <cellStyle name="Dziesiętny 5 9 2 4 2" xfId="16677"/>
    <cellStyle name="Dziesiętny 5 9 2 4 2 2" xfId="16678"/>
    <cellStyle name="Dziesiętny 5 9 2 4 2 3" xfId="16679"/>
    <cellStyle name="Dziesiętny 5 9 2 4 3" xfId="16680"/>
    <cellStyle name="Dziesiętny 5 9 2 4 4" xfId="16681"/>
    <cellStyle name="Dziesiętny 5 9 2 5" xfId="16682"/>
    <cellStyle name="Dziesiętny 5 9 2 5 2" xfId="16683"/>
    <cellStyle name="Dziesiętny 5 9 2 5 3" xfId="16684"/>
    <cellStyle name="Dziesiętny 5 9 2 6" xfId="16685"/>
    <cellStyle name="Dziesiętny 5 9 2 7" xfId="16686"/>
    <cellStyle name="Dziesiętny 5 9 3" xfId="16687"/>
    <cellStyle name="Dziesiętny 5 9 3 2" xfId="16688"/>
    <cellStyle name="Dziesiętny 5 9 3 2 2" xfId="16689"/>
    <cellStyle name="Dziesiętny 5 9 3 2 3" xfId="16690"/>
    <cellStyle name="Dziesiętny 5 9 3 3" xfId="16691"/>
    <cellStyle name="Dziesiętny 5 9 3 4" xfId="16692"/>
    <cellStyle name="Dziesiętny 5 9 4" xfId="16693"/>
    <cellStyle name="Dziesiętny 5 9 4 2" xfId="16694"/>
    <cellStyle name="Dziesiętny 5 9 4 2 2" xfId="16695"/>
    <cellStyle name="Dziesiętny 5 9 4 2 3" xfId="16696"/>
    <cellStyle name="Dziesiętny 5 9 4 3" xfId="16697"/>
    <cellStyle name="Dziesiętny 5 9 4 4" xfId="16698"/>
    <cellStyle name="Dziesiętny 5 9 5" xfId="16699"/>
    <cellStyle name="Dziesiętny 5 9 5 2" xfId="16700"/>
    <cellStyle name="Dziesiętny 5 9 5 2 2" xfId="16701"/>
    <cellStyle name="Dziesiętny 5 9 5 2 3" xfId="16702"/>
    <cellStyle name="Dziesiętny 5 9 5 3" xfId="16703"/>
    <cellStyle name="Dziesiętny 5 9 5 4" xfId="16704"/>
    <cellStyle name="Dziesiętny 5 9 6" xfId="16705"/>
    <cellStyle name="Dziesiętny 5 9 6 2" xfId="16706"/>
    <cellStyle name="Dziesiętny 5 9 6 3" xfId="16707"/>
    <cellStyle name="Dziesiętny 5 9 7" xfId="16708"/>
    <cellStyle name="Dziesiętny 5 9 8" xfId="16709"/>
    <cellStyle name="Dziesiętny 6" xfId="16710"/>
    <cellStyle name="Dziesiętny 7" xfId="16711"/>
    <cellStyle name="Dziesiętny 8" xfId="16712"/>
    <cellStyle name="Dziesiętny 9" xfId="16713"/>
    <cellStyle name="Euro" xfId="16714"/>
    <cellStyle name="Euro 2" xfId="16715"/>
    <cellStyle name="F2" xfId="16716"/>
    <cellStyle name="F2 2" xfId="16717"/>
    <cellStyle name="F2 3" xfId="16718"/>
    <cellStyle name="F2 4" xfId="16719"/>
    <cellStyle name="F3" xfId="16720"/>
    <cellStyle name="F3 2" xfId="16721"/>
    <cellStyle name="F3 3" xfId="16722"/>
    <cellStyle name="F3 4" xfId="16723"/>
    <cellStyle name="F4" xfId="16724"/>
    <cellStyle name="F4 2" xfId="16725"/>
    <cellStyle name="F4 3" xfId="16726"/>
    <cellStyle name="F4 4" xfId="16727"/>
    <cellStyle name="F5" xfId="16728"/>
    <cellStyle name="F5 2" xfId="16729"/>
    <cellStyle name="F5 3" xfId="16730"/>
    <cellStyle name="F5 4" xfId="16731"/>
    <cellStyle name="F6" xfId="16732"/>
    <cellStyle name="F6 2" xfId="16733"/>
    <cellStyle name="F6 3" xfId="16734"/>
    <cellStyle name="F6 4" xfId="16735"/>
    <cellStyle name="F7" xfId="16736"/>
    <cellStyle name="F7 2" xfId="16737"/>
    <cellStyle name="F7 3" xfId="16738"/>
    <cellStyle name="F7 4" xfId="16739"/>
    <cellStyle name="F8" xfId="16740"/>
    <cellStyle name="F8 2" xfId="16741"/>
    <cellStyle name="F8 3" xfId="16742"/>
    <cellStyle name="F8 4" xfId="16743"/>
    <cellStyle name="Hiperłącze 2" xfId="16744"/>
    <cellStyle name="Hiperłącze 2 2" xfId="16745"/>
    <cellStyle name="Hiperłącze 3" xfId="16746"/>
    <cellStyle name="Komórka połączona 2" xfId="16747"/>
    <cellStyle name="Komórka połączona 2 2" xfId="16748"/>
    <cellStyle name="Komórka połączona 2 3" xfId="16749"/>
    <cellStyle name="Komórka połączona 3" xfId="16750"/>
    <cellStyle name="Komórka połączona 4" xfId="16751"/>
    <cellStyle name="Komórka połączona 5" xfId="16752"/>
    <cellStyle name="Komórka połączona 6" xfId="16753"/>
    <cellStyle name="Komórka zaznaczona 2" xfId="16754"/>
    <cellStyle name="Komórka zaznaczona 2 2" xfId="16755"/>
    <cellStyle name="Komórka zaznaczona 2 2 2" xfId="16756"/>
    <cellStyle name="Komórka zaznaczona 2 3" xfId="16757"/>
    <cellStyle name="Komórka zaznaczona 2 4" xfId="16758"/>
    <cellStyle name="Komórka zaznaczona 3" xfId="16759"/>
    <cellStyle name="Komórka zaznaczona 4" xfId="16760"/>
    <cellStyle name="Komórka zaznaczona 4 2" xfId="16761"/>
    <cellStyle name="Komórka zaznaczona 4 2 2" xfId="16762"/>
    <cellStyle name="Komórka zaznaczona 4 3" xfId="16763"/>
    <cellStyle name="Komórka zaznaczona 5" xfId="16764"/>
    <cellStyle name="Komórka zaznaczona 5 2" xfId="16765"/>
    <cellStyle name="Komórka zaznaczona 6" xfId="16766"/>
    <cellStyle name="Komórka zaznaczona 7" xfId="16767"/>
    <cellStyle name="měny_laroux" xfId="16768"/>
    <cellStyle name="Nagłówek 1 2" xfId="16769"/>
    <cellStyle name="Nagłówek 1 2 2" xfId="16770"/>
    <cellStyle name="Nagłówek 1 2 3" xfId="16771"/>
    <cellStyle name="Nagłówek 1 3" xfId="16772"/>
    <cellStyle name="Nagłówek 1 4" xfId="16773"/>
    <cellStyle name="Nagłówek 1 5" xfId="16774"/>
    <cellStyle name="Nagłówek 1 6" xfId="16775"/>
    <cellStyle name="Nagłówek 2 2" xfId="16776"/>
    <cellStyle name="Nagłówek 2 2 2" xfId="16777"/>
    <cellStyle name="Nagłówek 2 2 3" xfId="16778"/>
    <cellStyle name="Nagłówek 2 3" xfId="16779"/>
    <cellStyle name="Nagłówek 2 4" xfId="16780"/>
    <cellStyle name="Nagłówek 2 5" xfId="16781"/>
    <cellStyle name="Nagłówek 2 6" xfId="16782"/>
    <cellStyle name="Nagłówek 3 2" xfId="16783"/>
    <cellStyle name="Nagłówek 3 2 2" xfId="16784"/>
    <cellStyle name="Nagłówek 3 2 3" xfId="16785"/>
    <cellStyle name="Nagłówek 3 3" xfId="16786"/>
    <cellStyle name="Nagłówek 3 4" xfId="16787"/>
    <cellStyle name="Nagłówek 3 5" xfId="16788"/>
    <cellStyle name="Nagłówek 3 6" xfId="16789"/>
    <cellStyle name="Nagłówek 4 2" xfId="16790"/>
    <cellStyle name="Nagłówek 4 2 2" xfId="16791"/>
    <cellStyle name="Nagłówek 4 2 3" xfId="16792"/>
    <cellStyle name="Nagłówek 4 3" xfId="16793"/>
    <cellStyle name="Nagłówek 4 4" xfId="16794"/>
    <cellStyle name="Nagłówek 4 5" xfId="16795"/>
    <cellStyle name="Nagłówek 4 6" xfId="16796"/>
    <cellStyle name="Neutralne 2" xfId="16797"/>
    <cellStyle name="Neutralne 2 2" xfId="16798"/>
    <cellStyle name="Neutralne 2 3" xfId="16799"/>
    <cellStyle name="Neutralne 3" xfId="16800"/>
    <cellStyle name="Neutralne 4" xfId="16801"/>
    <cellStyle name="Neutralne 5" xfId="16802"/>
    <cellStyle name="Neutralne 6" xfId="16803"/>
    <cellStyle name="Normal" xfId="0" builtinId="0"/>
    <cellStyle name="Normal 2" xfId="16"/>
    <cellStyle name="Normal 2 2" xfId="21786"/>
    <cellStyle name="Normal 3" xfId="17"/>
    <cellStyle name="Normal 4" xfId="16804"/>
    <cellStyle name="Normal 5" xfId="21784"/>
    <cellStyle name="Normal 6" xfId="14"/>
    <cellStyle name="normální_laroux" xfId="16805"/>
    <cellStyle name="Normalny 10" xfId="20"/>
    <cellStyle name="Normalny 10 2" xfId="21"/>
    <cellStyle name="Normalny 10 2 2" xfId="16806"/>
    <cellStyle name="Normalny 10 3" xfId="16807"/>
    <cellStyle name="Normalny 10 4" xfId="16808"/>
    <cellStyle name="Normalny 10 5" xfId="16809"/>
    <cellStyle name="Normalny 10 6" xfId="16810"/>
    <cellStyle name="Normalny 11" xfId="16811"/>
    <cellStyle name="Normalny 12" xfId="16812"/>
    <cellStyle name="Normalny 13" xfId="16813"/>
    <cellStyle name="Normalny 14" xfId="16814"/>
    <cellStyle name="Normalny 15" xfId="26"/>
    <cellStyle name="Normalny 15 3" xfId="21788"/>
    <cellStyle name="Normalny 16" xfId="21783"/>
    <cellStyle name="Normalny 2" xfId="3"/>
    <cellStyle name="Normalny 2 10" xfId="16815"/>
    <cellStyle name="Normalny 2 10 2" xfId="16816"/>
    <cellStyle name="Normalny 2 10 3" xfId="16817"/>
    <cellStyle name="Normalny 2 11" xfId="16818"/>
    <cellStyle name="Normalny 2 11 2" xfId="16819"/>
    <cellStyle name="Normalny 2 11 3" xfId="16820"/>
    <cellStyle name="Normalny 2 12" xfId="16821"/>
    <cellStyle name="Normalny 2 12 2" xfId="16822"/>
    <cellStyle name="Normalny 2 13" xfId="16823"/>
    <cellStyle name="Normalny 2 13 2" xfId="16824"/>
    <cellStyle name="Normalny 2 14" xfId="16825"/>
    <cellStyle name="Normalny 2 15" xfId="16826"/>
    <cellStyle name="Normalny 2 16" xfId="22"/>
    <cellStyle name="Normalny 2 2" xfId="4"/>
    <cellStyle name="Normalny 2 2 2" xfId="16827"/>
    <cellStyle name="Normalny 2 2 2 2" xfId="16828"/>
    <cellStyle name="Normalny 2 2 3" xfId="16829"/>
    <cellStyle name="Normalny 2 2 4" xfId="16830"/>
    <cellStyle name="Normalny 2 2 5" xfId="16831"/>
    <cellStyle name="Normalny 2 3" xfId="16832"/>
    <cellStyle name="Normalny 2 3 2" xfId="16833"/>
    <cellStyle name="Normalny 2 3 2 2" xfId="16834"/>
    <cellStyle name="Normalny 2 3 2 3" xfId="16835"/>
    <cellStyle name="Normalny 2 3 2 4" xfId="16836"/>
    <cellStyle name="Normalny 2 3 3" xfId="16837"/>
    <cellStyle name="Normalny 2 3 3 2" xfId="16838"/>
    <cellStyle name="Normalny 2 3 3 3" xfId="16839"/>
    <cellStyle name="Normalny 2 3 3 4" xfId="16840"/>
    <cellStyle name="Normalny 2 3 4" xfId="16841"/>
    <cellStyle name="Normalny 2 3 4 2" xfId="16842"/>
    <cellStyle name="Normalny 2 3 4 2 2" xfId="16843"/>
    <cellStyle name="Normalny 2 3 4 2 3" xfId="16844"/>
    <cellStyle name="Normalny 2 3 4 3" xfId="16845"/>
    <cellStyle name="Normalny 2 3 4 4" xfId="16846"/>
    <cellStyle name="Normalny 2 3 5" xfId="16847"/>
    <cellStyle name="Normalny 2 3 6" xfId="16848"/>
    <cellStyle name="Normalny 2 4" xfId="16849"/>
    <cellStyle name="Normalny 2 4 2" xfId="16850"/>
    <cellStyle name="Normalny 2 4 3" xfId="16851"/>
    <cellStyle name="Normalny 2 4 4" xfId="16852"/>
    <cellStyle name="Normalny 2 5" xfId="16853"/>
    <cellStyle name="Normalny 2 5 2" xfId="16854"/>
    <cellStyle name="Normalny 2 5 2 2" xfId="16855"/>
    <cellStyle name="Normalny 2 5 2 3" xfId="16856"/>
    <cellStyle name="Normalny 2 5 3" xfId="16857"/>
    <cellStyle name="Normalny 2 5 3 2" xfId="16858"/>
    <cellStyle name="Normalny 2 5 3 3" xfId="16859"/>
    <cellStyle name="Normalny 2 5 3 4" xfId="16860"/>
    <cellStyle name="Normalny 2 5 4" xfId="16861"/>
    <cellStyle name="Normalny 2 5 4 2" xfId="16862"/>
    <cellStyle name="Normalny 2 5 4 2 2" xfId="16863"/>
    <cellStyle name="Normalny 2 5 4 2 3" xfId="16864"/>
    <cellStyle name="Normalny 2 5 4 3" xfId="16865"/>
    <cellStyle name="Normalny 2 5 4 4" xfId="16866"/>
    <cellStyle name="Normalny 2 5 5" xfId="16867"/>
    <cellStyle name="Normalny 2 5 6" xfId="16868"/>
    <cellStyle name="Normalny 2 6" xfId="16869"/>
    <cellStyle name="Normalny 2 6 2" xfId="16870"/>
    <cellStyle name="Normalny 2 6 3" xfId="16871"/>
    <cellStyle name="Normalny 2 6 4" xfId="16872"/>
    <cellStyle name="Normalny 2 7" xfId="16873"/>
    <cellStyle name="Normalny 2 7 2" xfId="16874"/>
    <cellStyle name="Normalny 2 7 3" xfId="16875"/>
    <cellStyle name="Normalny 2 8" xfId="16876"/>
    <cellStyle name="Normalny 2 8 2" xfId="16877"/>
    <cellStyle name="Normalny 2 8 3" xfId="16878"/>
    <cellStyle name="Normalny 2 9" xfId="16879"/>
    <cellStyle name="Normalny 2 9 2" xfId="16880"/>
    <cellStyle name="Normalny 2 9 3" xfId="16881"/>
    <cellStyle name="Normalny 2_BAZA_WYCHOW." xfId="16882"/>
    <cellStyle name="Normalny 3" xfId="5"/>
    <cellStyle name="Normalny 3 10" xfId="16884"/>
    <cellStyle name="Normalny 3 10 2" xfId="16885"/>
    <cellStyle name="Normalny 3 10 2 2" xfId="16886"/>
    <cellStyle name="Normalny 3 10 2 2 2" xfId="16887"/>
    <cellStyle name="Normalny 3 10 2 2 3" xfId="16888"/>
    <cellStyle name="Normalny 3 10 2 3" xfId="16889"/>
    <cellStyle name="Normalny 3 10 2 4" xfId="16890"/>
    <cellStyle name="Normalny 3 10 3" xfId="16891"/>
    <cellStyle name="Normalny 3 10 3 2" xfId="16892"/>
    <cellStyle name="Normalny 3 10 3 3" xfId="16893"/>
    <cellStyle name="Normalny 3 10 4" xfId="16894"/>
    <cellStyle name="Normalny 3 10 5" xfId="16895"/>
    <cellStyle name="Normalny 3 11" xfId="16896"/>
    <cellStyle name="Normalny 3 11 2" xfId="16897"/>
    <cellStyle name="Normalny 3 11 2 2" xfId="16898"/>
    <cellStyle name="Normalny 3 11 2 3" xfId="16899"/>
    <cellStyle name="Normalny 3 11 3" xfId="16900"/>
    <cellStyle name="Normalny 3 11 4" xfId="16901"/>
    <cellStyle name="Normalny 3 12" xfId="16902"/>
    <cellStyle name="Normalny 3 12 2" xfId="16903"/>
    <cellStyle name="Normalny 3 12 3" xfId="16904"/>
    <cellStyle name="Normalny 3 13" xfId="16905"/>
    <cellStyle name="Normalny 3 14" xfId="16906"/>
    <cellStyle name="Normalny 3 15" xfId="16907"/>
    <cellStyle name="Normalny 3 16" xfId="16908"/>
    <cellStyle name="Normalny 3 17" xfId="16909"/>
    <cellStyle name="Normalny 3 18" xfId="16883"/>
    <cellStyle name="Normalny 3 2" xfId="6"/>
    <cellStyle name="Normalny 3 2 10" xfId="16911"/>
    <cellStyle name="Normalny 3 2 10 2" xfId="16912"/>
    <cellStyle name="Normalny 3 2 10 2 2" xfId="16913"/>
    <cellStyle name="Normalny 3 2 10 2 2 2" xfId="16914"/>
    <cellStyle name="Normalny 3 2 10 2 2 2 2" xfId="16915"/>
    <cellStyle name="Normalny 3 2 10 2 2 2 3" xfId="16916"/>
    <cellStyle name="Normalny 3 2 10 2 2 3" xfId="16917"/>
    <cellStyle name="Normalny 3 2 10 2 2 4" xfId="16918"/>
    <cellStyle name="Normalny 3 2 10 2 3" xfId="16919"/>
    <cellStyle name="Normalny 3 2 10 2 3 2" xfId="16920"/>
    <cellStyle name="Normalny 3 2 10 2 3 2 2" xfId="16921"/>
    <cellStyle name="Normalny 3 2 10 2 3 2 3" xfId="16922"/>
    <cellStyle name="Normalny 3 2 10 2 3 3" xfId="16923"/>
    <cellStyle name="Normalny 3 2 10 2 3 4" xfId="16924"/>
    <cellStyle name="Normalny 3 2 10 2 4" xfId="16925"/>
    <cellStyle name="Normalny 3 2 10 2 4 2" xfId="16926"/>
    <cellStyle name="Normalny 3 2 10 2 4 2 2" xfId="16927"/>
    <cellStyle name="Normalny 3 2 10 2 4 2 3" xfId="16928"/>
    <cellStyle name="Normalny 3 2 10 2 4 3" xfId="16929"/>
    <cellStyle name="Normalny 3 2 10 2 4 4" xfId="16930"/>
    <cellStyle name="Normalny 3 2 10 2 5" xfId="16931"/>
    <cellStyle name="Normalny 3 2 10 2 5 2" xfId="16932"/>
    <cellStyle name="Normalny 3 2 10 2 5 3" xfId="16933"/>
    <cellStyle name="Normalny 3 2 10 2 6" xfId="16934"/>
    <cellStyle name="Normalny 3 2 10 2 7" xfId="16935"/>
    <cellStyle name="Normalny 3 2 10 3" xfId="16936"/>
    <cellStyle name="Normalny 3 2 10 3 2" xfId="16937"/>
    <cellStyle name="Normalny 3 2 10 3 2 2" xfId="16938"/>
    <cellStyle name="Normalny 3 2 10 3 2 3" xfId="16939"/>
    <cellStyle name="Normalny 3 2 10 3 3" xfId="16940"/>
    <cellStyle name="Normalny 3 2 10 3 4" xfId="16941"/>
    <cellStyle name="Normalny 3 2 10 4" xfId="16942"/>
    <cellStyle name="Normalny 3 2 10 4 2" xfId="16943"/>
    <cellStyle name="Normalny 3 2 10 4 2 2" xfId="16944"/>
    <cellStyle name="Normalny 3 2 10 4 2 3" xfId="16945"/>
    <cellStyle name="Normalny 3 2 10 4 3" xfId="16946"/>
    <cellStyle name="Normalny 3 2 10 4 4" xfId="16947"/>
    <cellStyle name="Normalny 3 2 10 5" xfId="16948"/>
    <cellStyle name="Normalny 3 2 10 5 2" xfId="16949"/>
    <cellStyle name="Normalny 3 2 10 5 2 2" xfId="16950"/>
    <cellStyle name="Normalny 3 2 10 5 2 3" xfId="16951"/>
    <cellStyle name="Normalny 3 2 10 5 3" xfId="16952"/>
    <cellStyle name="Normalny 3 2 10 5 4" xfId="16953"/>
    <cellStyle name="Normalny 3 2 10 6" xfId="16954"/>
    <cellStyle name="Normalny 3 2 10 6 2" xfId="16955"/>
    <cellStyle name="Normalny 3 2 10 6 3" xfId="16956"/>
    <cellStyle name="Normalny 3 2 10 7" xfId="16957"/>
    <cellStyle name="Normalny 3 2 10 8" xfId="16958"/>
    <cellStyle name="Normalny 3 2 11" xfId="16959"/>
    <cellStyle name="Normalny 3 2 11 2" xfId="16960"/>
    <cellStyle name="Normalny 3 2 11 2 2" xfId="16961"/>
    <cellStyle name="Normalny 3 2 11 2 2 2" xfId="16962"/>
    <cellStyle name="Normalny 3 2 11 2 2 3" xfId="16963"/>
    <cellStyle name="Normalny 3 2 11 2 3" xfId="16964"/>
    <cellStyle name="Normalny 3 2 11 2 4" xfId="16965"/>
    <cellStyle name="Normalny 3 2 11 3" xfId="16966"/>
    <cellStyle name="Normalny 3 2 11 3 2" xfId="16967"/>
    <cellStyle name="Normalny 3 2 11 3 2 2" xfId="16968"/>
    <cellStyle name="Normalny 3 2 11 3 2 3" xfId="16969"/>
    <cellStyle name="Normalny 3 2 11 3 3" xfId="16970"/>
    <cellStyle name="Normalny 3 2 11 3 4" xfId="16971"/>
    <cellStyle name="Normalny 3 2 11 4" xfId="16972"/>
    <cellStyle name="Normalny 3 2 11 4 2" xfId="16973"/>
    <cellStyle name="Normalny 3 2 11 4 2 2" xfId="16974"/>
    <cellStyle name="Normalny 3 2 11 4 2 3" xfId="16975"/>
    <cellStyle name="Normalny 3 2 11 4 3" xfId="16976"/>
    <cellStyle name="Normalny 3 2 11 4 4" xfId="16977"/>
    <cellStyle name="Normalny 3 2 11 5" xfId="16978"/>
    <cellStyle name="Normalny 3 2 11 5 2" xfId="16979"/>
    <cellStyle name="Normalny 3 2 11 5 3" xfId="16980"/>
    <cellStyle name="Normalny 3 2 11 6" xfId="16981"/>
    <cellStyle name="Normalny 3 2 11 7" xfId="16982"/>
    <cellStyle name="Normalny 3 2 12" xfId="16983"/>
    <cellStyle name="Normalny 3 2 12 2" xfId="16984"/>
    <cellStyle name="Normalny 3 2 12 2 2" xfId="16985"/>
    <cellStyle name="Normalny 3 2 12 2 2 2" xfId="16986"/>
    <cellStyle name="Normalny 3 2 12 2 2 3" xfId="16987"/>
    <cellStyle name="Normalny 3 2 12 2 3" xfId="16988"/>
    <cellStyle name="Normalny 3 2 12 2 4" xfId="16989"/>
    <cellStyle name="Normalny 3 2 12 3" xfId="16990"/>
    <cellStyle name="Normalny 3 2 12 3 2" xfId="16991"/>
    <cellStyle name="Normalny 3 2 12 3 3" xfId="16992"/>
    <cellStyle name="Normalny 3 2 12 4" xfId="16993"/>
    <cellStyle name="Normalny 3 2 12 5" xfId="16994"/>
    <cellStyle name="Normalny 3 2 13" xfId="16995"/>
    <cellStyle name="Normalny 3 2 13 2" xfId="16996"/>
    <cellStyle name="Normalny 3 2 13 2 2" xfId="16997"/>
    <cellStyle name="Normalny 3 2 13 2 3" xfId="16998"/>
    <cellStyle name="Normalny 3 2 13 3" xfId="16999"/>
    <cellStyle name="Normalny 3 2 13 4" xfId="17000"/>
    <cellStyle name="Normalny 3 2 14" xfId="17001"/>
    <cellStyle name="Normalny 3 2 14 2" xfId="17002"/>
    <cellStyle name="Normalny 3 2 14 2 2" xfId="17003"/>
    <cellStyle name="Normalny 3 2 14 2 3" xfId="17004"/>
    <cellStyle name="Normalny 3 2 14 3" xfId="17005"/>
    <cellStyle name="Normalny 3 2 14 4" xfId="17006"/>
    <cellStyle name="Normalny 3 2 15" xfId="17007"/>
    <cellStyle name="Normalny 3 2 15 2" xfId="17008"/>
    <cellStyle name="Normalny 3 2 15 2 2" xfId="17009"/>
    <cellStyle name="Normalny 3 2 15 2 3" xfId="17010"/>
    <cellStyle name="Normalny 3 2 15 3" xfId="17011"/>
    <cellStyle name="Normalny 3 2 15 4" xfId="17012"/>
    <cellStyle name="Normalny 3 2 16" xfId="17013"/>
    <cellStyle name="Normalny 3 2 16 2" xfId="17014"/>
    <cellStyle name="Normalny 3 2 16 3" xfId="17015"/>
    <cellStyle name="Normalny 3 2 17" xfId="17016"/>
    <cellStyle name="Normalny 3 2 17 2" xfId="17017"/>
    <cellStyle name="Normalny 3 2 17 3" xfId="17018"/>
    <cellStyle name="Normalny 3 2 18" xfId="17019"/>
    <cellStyle name="Normalny 3 2 19" xfId="17020"/>
    <cellStyle name="Normalny 3 2 2" xfId="17021"/>
    <cellStyle name="Normalny 3 2 2 10" xfId="17022"/>
    <cellStyle name="Normalny 3 2 2 10 2" xfId="17023"/>
    <cellStyle name="Normalny 3 2 2 10 2 2" xfId="17024"/>
    <cellStyle name="Normalny 3 2 2 10 2 2 2" xfId="17025"/>
    <cellStyle name="Normalny 3 2 2 10 2 2 3" xfId="17026"/>
    <cellStyle name="Normalny 3 2 2 10 2 3" xfId="17027"/>
    <cellStyle name="Normalny 3 2 2 10 2 4" xfId="17028"/>
    <cellStyle name="Normalny 3 2 2 10 3" xfId="17029"/>
    <cellStyle name="Normalny 3 2 2 10 3 2" xfId="17030"/>
    <cellStyle name="Normalny 3 2 2 10 3 3" xfId="17031"/>
    <cellStyle name="Normalny 3 2 2 10 4" xfId="17032"/>
    <cellStyle name="Normalny 3 2 2 10 5" xfId="17033"/>
    <cellStyle name="Normalny 3 2 2 11" xfId="17034"/>
    <cellStyle name="Normalny 3 2 2 11 2" xfId="17035"/>
    <cellStyle name="Normalny 3 2 2 11 2 2" xfId="17036"/>
    <cellStyle name="Normalny 3 2 2 11 2 3" xfId="17037"/>
    <cellStyle name="Normalny 3 2 2 11 3" xfId="17038"/>
    <cellStyle name="Normalny 3 2 2 11 4" xfId="17039"/>
    <cellStyle name="Normalny 3 2 2 12" xfId="17040"/>
    <cellStyle name="Normalny 3 2 2 12 2" xfId="17041"/>
    <cellStyle name="Normalny 3 2 2 12 2 2" xfId="17042"/>
    <cellStyle name="Normalny 3 2 2 12 2 3" xfId="17043"/>
    <cellStyle name="Normalny 3 2 2 12 3" xfId="17044"/>
    <cellStyle name="Normalny 3 2 2 12 4" xfId="17045"/>
    <cellStyle name="Normalny 3 2 2 13" xfId="17046"/>
    <cellStyle name="Normalny 3 2 2 13 2" xfId="17047"/>
    <cellStyle name="Normalny 3 2 2 13 2 2" xfId="17048"/>
    <cellStyle name="Normalny 3 2 2 13 2 3" xfId="17049"/>
    <cellStyle name="Normalny 3 2 2 13 3" xfId="17050"/>
    <cellStyle name="Normalny 3 2 2 13 4" xfId="17051"/>
    <cellStyle name="Normalny 3 2 2 14" xfId="17052"/>
    <cellStyle name="Normalny 3 2 2 14 2" xfId="17053"/>
    <cellStyle name="Normalny 3 2 2 14 3" xfId="17054"/>
    <cellStyle name="Normalny 3 2 2 15" xfId="17055"/>
    <cellStyle name="Normalny 3 2 2 15 2" xfId="17056"/>
    <cellStyle name="Normalny 3 2 2 15 3" xfId="17057"/>
    <cellStyle name="Normalny 3 2 2 16" xfId="17058"/>
    <cellStyle name="Normalny 3 2 2 17" xfId="17059"/>
    <cellStyle name="Normalny 3 2 2 18" xfId="17060"/>
    <cellStyle name="Normalny 3 2 2 2" xfId="17061"/>
    <cellStyle name="Normalny 3 2 2 2 10" xfId="17062"/>
    <cellStyle name="Normalny 3 2 2 2 10 2" xfId="17063"/>
    <cellStyle name="Normalny 3 2 2 2 10 2 2" xfId="17064"/>
    <cellStyle name="Normalny 3 2 2 2 10 2 3" xfId="17065"/>
    <cellStyle name="Normalny 3 2 2 2 10 3" xfId="17066"/>
    <cellStyle name="Normalny 3 2 2 2 10 4" xfId="17067"/>
    <cellStyle name="Normalny 3 2 2 2 11" xfId="17068"/>
    <cellStyle name="Normalny 3 2 2 2 11 2" xfId="17069"/>
    <cellStyle name="Normalny 3 2 2 2 11 3" xfId="17070"/>
    <cellStyle name="Normalny 3 2 2 2 12" xfId="17071"/>
    <cellStyle name="Normalny 3 2 2 2 12 2" xfId="17072"/>
    <cellStyle name="Normalny 3 2 2 2 12 3" xfId="17073"/>
    <cellStyle name="Normalny 3 2 2 2 13" xfId="17074"/>
    <cellStyle name="Normalny 3 2 2 2 14" xfId="17075"/>
    <cellStyle name="Normalny 3 2 2 2 15" xfId="17076"/>
    <cellStyle name="Normalny 3 2 2 2 2" xfId="17077"/>
    <cellStyle name="Normalny 3 2 2 2 2 10" xfId="17078"/>
    <cellStyle name="Normalny 3 2 2 2 2 11" xfId="17079"/>
    <cellStyle name="Normalny 3 2 2 2 2 2" xfId="17080"/>
    <cellStyle name="Normalny 3 2 2 2 2 2 2" xfId="17081"/>
    <cellStyle name="Normalny 3 2 2 2 2 2 2 2" xfId="17082"/>
    <cellStyle name="Normalny 3 2 2 2 2 2 2 2 2" xfId="17083"/>
    <cellStyle name="Normalny 3 2 2 2 2 2 2 2 2 2" xfId="17084"/>
    <cellStyle name="Normalny 3 2 2 2 2 2 2 2 2 3" xfId="17085"/>
    <cellStyle name="Normalny 3 2 2 2 2 2 2 2 3" xfId="17086"/>
    <cellStyle name="Normalny 3 2 2 2 2 2 2 2 4" xfId="17087"/>
    <cellStyle name="Normalny 3 2 2 2 2 2 2 3" xfId="17088"/>
    <cellStyle name="Normalny 3 2 2 2 2 2 2 3 2" xfId="17089"/>
    <cellStyle name="Normalny 3 2 2 2 2 2 2 3 2 2" xfId="17090"/>
    <cellStyle name="Normalny 3 2 2 2 2 2 2 3 2 3" xfId="17091"/>
    <cellStyle name="Normalny 3 2 2 2 2 2 2 3 3" xfId="17092"/>
    <cellStyle name="Normalny 3 2 2 2 2 2 2 3 4" xfId="17093"/>
    <cellStyle name="Normalny 3 2 2 2 2 2 2 4" xfId="17094"/>
    <cellStyle name="Normalny 3 2 2 2 2 2 2 4 2" xfId="17095"/>
    <cellStyle name="Normalny 3 2 2 2 2 2 2 4 2 2" xfId="17096"/>
    <cellStyle name="Normalny 3 2 2 2 2 2 2 4 2 3" xfId="17097"/>
    <cellStyle name="Normalny 3 2 2 2 2 2 2 4 3" xfId="17098"/>
    <cellStyle name="Normalny 3 2 2 2 2 2 2 4 4" xfId="17099"/>
    <cellStyle name="Normalny 3 2 2 2 2 2 2 5" xfId="17100"/>
    <cellStyle name="Normalny 3 2 2 2 2 2 2 5 2" xfId="17101"/>
    <cellStyle name="Normalny 3 2 2 2 2 2 2 5 3" xfId="17102"/>
    <cellStyle name="Normalny 3 2 2 2 2 2 2 6" xfId="17103"/>
    <cellStyle name="Normalny 3 2 2 2 2 2 2 7" xfId="17104"/>
    <cellStyle name="Normalny 3 2 2 2 2 2 3" xfId="17105"/>
    <cellStyle name="Normalny 3 2 2 2 2 2 3 2" xfId="17106"/>
    <cellStyle name="Normalny 3 2 2 2 2 2 3 2 2" xfId="17107"/>
    <cellStyle name="Normalny 3 2 2 2 2 2 3 2 2 2" xfId="17108"/>
    <cellStyle name="Normalny 3 2 2 2 2 2 3 2 2 3" xfId="17109"/>
    <cellStyle name="Normalny 3 2 2 2 2 2 3 2 3" xfId="17110"/>
    <cellStyle name="Normalny 3 2 2 2 2 2 3 2 4" xfId="17111"/>
    <cellStyle name="Normalny 3 2 2 2 2 2 3 3" xfId="17112"/>
    <cellStyle name="Normalny 3 2 2 2 2 2 3 3 2" xfId="17113"/>
    <cellStyle name="Normalny 3 2 2 2 2 2 3 3 2 2" xfId="17114"/>
    <cellStyle name="Normalny 3 2 2 2 2 2 3 3 2 3" xfId="17115"/>
    <cellStyle name="Normalny 3 2 2 2 2 2 3 3 3" xfId="17116"/>
    <cellStyle name="Normalny 3 2 2 2 2 2 3 3 4" xfId="17117"/>
    <cellStyle name="Normalny 3 2 2 2 2 2 3 4" xfId="17118"/>
    <cellStyle name="Normalny 3 2 2 2 2 2 3 4 2" xfId="17119"/>
    <cellStyle name="Normalny 3 2 2 2 2 2 3 4 2 2" xfId="17120"/>
    <cellStyle name="Normalny 3 2 2 2 2 2 3 4 2 3" xfId="17121"/>
    <cellStyle name="Normalny 3 2 2 2 2 2 3 4 3" xfId="17122"/>
    <cellStyle name="Normalny 3 2 2 2 2 2 3 4 4" xfId="17123"/>
    <cellStyle name="Normalny 3 2 2 2 2 2 3 5" xfId="17124"/>
    <cellStyle name="Normalny 3 2 2 2 2 2 3 5 2" xfId="17125"/>
    <cellStyle name="Normalny 3 2 2 2 2 2 3 5 3" xfId="17126"/>
    <cellStyle name="Normalny 3 2 2 2 2 2 3 6" xfId="17127"/>
    <cellStyle name="Normalny 3 2 2 2 2 2 3 7" xfId="17128"/>
    <cellStyle name="Normalny 3 2 2 2 2 2 4" xfId="17129"/>
    <cellStyle name="Normalny 3 2 2 2 2 2 4 2" xfId="17130"/>
    <cellStyle name="Normalny 3 2 2 2 2 2 4 2 2" xfId="17131"/>
    <cellStyle name="Normalny 3 2 2 2 2 2 4 2 3" xfId="17132"/>
    <cellStyle name="Normalny 3 2 2 2 2 2 4 3" xfId="17133"/>
    <cellStyle name="Normalny 3 2 2 2 2 2 4 4" xfId="17134"/>
    <cellStyle name="Normalny 3 2 2 2 2 2 5" xfId="17135"/>
    <cellStyle name="Normalny 3 2 2 2 2 2 5 2" xfId="17136"/>
    <cellStyle name="Normalny 3 2 2 2 2 2 5 2 2" xfId="17137"/>
    <cellStyle name="Normalny 3 2 2 2 2 2 5 2 3" xfId="17138"/>
    <cellStyle name="Normalny 3 2 2 2 2 2 5 3" xfId="17139"/>
    <cellStyle name="Normalny 3 2 2 2 2 2 5 4" xfId="17140"/>
    <cellStyle name="Normalny 3 2 2 2 2 2 6" xfId="17141"/>
    <cellStyle name="Normalny 3 2 2 2 2 2 6 2" xfId="17142"/>
    <cellStyle name="Normalny 3 2 2 2 2 2 6 2 2" xfId="17143"/>
    <cellStyle name="Normalny 3 2 2 2 2 2 6 2 3" xfId="17144"/>
    <cellStyle name="Normalny 3 2 2 2 2 2 6 3" xfId="17145"/>
    <cellStyle name="Normalny 3 2 2 2 2 2 6 4" xfId="17146"/>
    <cellStyle name="Normalny 3 2 2 2 2 2 7" xfId="17147"/>
    <cellStyle name="Normalny 3 2 2 2 2 2 7 2" xfId="17148"/>
    <cellStyle name="Normalny 3 2 2 2 2 2 7 3" xfId="17149"/>
    <cellStyle name="Normalny 3 2 2 2 2 2 8" xfId="17150"/>
    <cellStyle name="Normalny 3 2 2 2 2 2 9" xfId="17151"/>
    <cellStyle name="Normalny 3 2 2 2 2 3" xfId="17152"/>
    <cellStyle name="Normalny 3 2 2 2 2 3 2" xfId="17153"/>
    <cellStyle name="Normalny 3 2 2 2 2 3 2 2" xfId="17154"/>
    <cellStyle name="Normalny 3 2 2 2 2 3 2 2 2" xfId="17155"/>
    <cellStyle name="Normalny 3 2 2 2 2 3 2 2 3" xfId="17156"/>
    <cellStyle name="Normalny 3 2 2 2 2 3 2 3" xfId="17157"/>
    <cellStyle name="Normalny 3 2 2 2 2 3 2 4" xfId="17158"/>
    <cellStyle name="Normalny 3 2 2 2 2 3 3" xfId="17159"/>
    <cellStyle name="Normalny 3 2 2 2 2 3 3 2" xfId="17160"/>
    <cellStyle name="Normalny 3 2 2 2 2 3 3 2 2" xfId="17161"/>
    <cellStyle name="Normalny 3 2 2 2 2 3 3 2 3" xfId="17162"/>
    <cellStyle name="Normalny 3 2 2 2 2 3 3 3" xfId="17163"/>
    <cellStyle name="Normalny 3 2 2 2 2 3 3 4" xfId="17164"/>
    <cellStyle name="Normalny 3 2 2 2 2 3 4" xfId="17165"/>
    <cellStyle name="Normalny 3 2 2 2 2 3 4 2" xfId="17166"/>
    <cellStyle name="Normalny 3 2 2 2 2 3 4 2 2" xfId="17167"/>
    <cellStyle name="Normalny 3 2 2 2 2 3 4 2 3" xfId="17168"/>
    <cellStyle name="Normalny 3 2 2 2 2 3 4 3" xfId="17169"/>
    <cellStyle name="Normalny 3 2 2 2 2 3 4 4" xfId="17170"/>
    <cellStyle name="Normalny 3 2 2 2 2 3 5" xfId="17171"/>
    <cellStyle name="Normalny 3 2 2 2 2 3 5 2" xfId="17172"/>
    <cellStyle name="Normalny 3 2 2 2 2 3 5 3" xfId="17173"/>
    <cellStyle name="Normalny 3 2 2 2 2 3 6" xfId="17174"/>
    <cellStyle name="Normalny 3 2 2 2 2 3 7" xfId="17175"/>
    <cellStyle name="Normalny 3 2 2 2 2 4" xfId="17176"/>
    <cellStyle name="Normalny 3 2 2 2 2 4 2" xfId="17177"/>
    <cellStyle name="Normalny 3 2 2 2 2 4 2 2" xfId="17178"/>
    <cellStyle name="Normalny 3 2 2 2 2 4 2 2 2" xfId="17179"/>
    <cellStyle name="Normalny 3 2 2 2 2 4 2 2 3" xfId="17180"/>
    <cellStyle name="Normalny 3 2 2 2 2 4 2 3" xfId="17181"/>
    <cellStyle name="Normalny 3 2 2 2 2 4 2 4" xfId="17182"/>
    <cellStyle name="Normalny 3 2 2 2 2 4 3" xfId="17183"/>
    <cellStyle name="Normalny 3 2 2 2 2 4 3 2" xfId="17184"/>
    <cellStyle name="Normalny 3 2 2 2 2 4 3 2 2" xfId="17185"/>
    <cellStyle name="Normalny 3 2 2 2 2 4 3 2 3" xfId="17186"/>
    <cellStyle name="Normalny 3 2 2 2 2 4 3 3" xfId="17187"/>
    <cellStyle name="Normalny 3 2 2 2 2 4 3 4" xfId="17188"/>
    <cellStyle name="Normalny 3 2 2 2 2 4 4" xfId="17189"/>
    <cellStyle name="Normalny 3 2 2 2 2 4 4 2" xfId="17190"/>
    <cellStyle name="Normalny 3 2 2 2 2 4 4 2 2" xfId="17191"/>
    <cellStyle name="Normalny 3 2 2 2 2 4 4 2 3" xfId="17192"/>
    <cellStyle name="Normalny 3 2 2 2 2 4 4 3" xfId="17193"/>
    <cellStyle name="Normalny 3 2 2 2 2 4 4 4" xfId="17194"/>
    <cellStyle name="Normalny 3 2 2 2 2 4 5" xfId="17195"/>
    <cellStyle name="Normalny 3 2 2 2 2 4 5 2" xfId="17196"/>
    <cellStyle name="Normalny 3 2 2 2 2 4 5 3" xfId="17197"/>
    <cellStyle name="Normalny 3 2 2 2 2 4 6" xfId="17198"/>
    <cellStyle name="Normalny 3 2 2 2 2 4 7" xfId="17199"/>
    <cellStyle name="Normalny 3 2 2 2 2 5" xfId="17200"/>
    <cellStyle name="Normalny 3 2 2 2 2 5 2" xfId="17201"/>
    <cellStyle name="Normalny 3 2 2 2 2 5 2 2" xfId="17202"/>
    <cellStyle name="Normalny 3 2 2 2 2 5 2 2 2" xfId="17203"/>
    <cellStyle name="Normalny 3 2 2 2 2 5 2 2 3" xfId="17204"/>
    <cellStyle name="Normalny 3 2 2 2 2 5 2 3" xfId="17205"/>
    <cellStyle name="Normalny 3 2 2 2 2 5 2 4" xfId="17206"/>
    <cellStyle name="Normalny 3 2 2 2 2 5 3" xfId="17207"/>
    <cellStyle name="Normalny 3 2 2 2 2 5 3 2" xfId="17208"/>
    <cellStyle name="Normalny 3 2 2 2 2 5 3 3" xfId="17209"/>
    <cellStyle name="Normalny 3 2 2 2 2 5 4" xfId="17210"/>
    <cellStyle name="Normalny 3 2 2 2 2 5 5" xfId="17211"/>
    <cellStyle name="Normalny 3 2 2 2 2 6" xfId="17212"/>
    <cellStyle name="Normalny 3 2 2 2 2 6 2" xfId="17213"/>
    <cellStyle name="Normalny 3 2 2 2 2 6 2 2" xfId="17214"/>
    <cellStyle name="Normalny 3 2 2 2 2 6 2 3" xfId="17215"/>
    <cellStyle name="Normalny 3 2 2 2 2 6 3" xfId="17216"/>
    <cellStyle name="Normalny 3 2 2 2 2 6 4" xfId="17217"/>
    <cellStyle name="Normalny 3 2 2 2 2 7" xfId="17218"/>
    <cellStyle name="Normalny 3 2 2 2 2 7 2" xfId="17219"/>
    <cellStyle name="Normalny 3 2 2 2 2 7 2 2" xfId="17220"/>
    <cellStyle name="Normalny 3 2 2 2 2 7 2 3" xfId="17221"/>
    <cellStyle name="Normalny 3 2 2 2 2 7 3" xfId="17222"/>
    <cellStyle name="Normalny 3 2 2 2 2 7 4" xfId="17223"/>
    <cellStyle name="Normalny 3 2 2 2 2 8" xfId="17224"/>
    <cellStyle name="Normalny 3 2 2 2 2 8 2" xfId="17225"/>
    <cellStyle name="Normalny 3 2 2 2 2 8 2 2" xfId="17226"/>
    <cellStyle name="Normalny 3 2 2 2 2 8 2 3" xfId="17227"/>
    <cellStyle name="Normalny 3 2 2 2 2 8 3" xfId="17228"/>
    <cellStyle name="Normalny 3 2 2 2 2 8 4" xfId="17229"/>
    <cellStyle name="Normalny 3 2 2 2 2 9" xfId="17230"/>
    <cellStyle name="Normalny 3 2 2 2 2 9 2" xfId="17231"/>
    <cellStyle name="Normalny 3 2 2 2 2 9 3" xfId="17232"/>
    <cellStyle name="Normalny 3 2 2 2 3" xfId="17233"/>
    <cellStyle name="Normalny 3 2 2 2 3 10" xfId="17234"/>
    <cellStyle name="Normalny 3 2 2 2 3 2" xfId="17235"/>
    <cellStyle name="Normalny 3 2 2 2 3 2 2" xfId="17236"/>
    <cellStyle name="Normalny 3 2 2 2 3 2 2 2" xfId="17237"/>
    <cellStyle name="Normalny 3 2 2 2 3 2 2 2 2" xfId="17238"/>
    <cellStyle name="Normalny 3 2 2 2 3 2 2 2 3" xfId="17239"/>
    <cellStyle name="Normalny 3 2 2 2 3 2 2 3" xfId="17240"/>
    <cellStyle name="Normalny 3 2 2 2 3 2 2 4" xfId="17241"/>
    <cellStyle name="Normalny 3 2 2 2 3 2 3" xfId="17242"/>
    <cellStyle name="Normalny 3 2 2 2 3 2 3 2" xfId="17243"/>
    <cellStyle name="Normalny 3 2 2 2 3 2 3 2 2" xfId="17244"/>
    <cellStyle name="Normalny 3 2 2 2 3 2 3 2 3" xfId="17245"/>
    <cellStyle name="Normalny 3 2 2 2 3 2 3 3" xfId="17246"/>
    <cellStyle name="Normalny 3 2 2 2 3 2 3 4" xfId="17247"/>
    <cellStyle name="Normalny 3 2 2 2 3 2 4" xfId="17248"/>
    <cellStyle name="Normalny 3 2 2 2 3 2 4 2" xfId="17249"/>
    <cellStyle name="Normalny 3 2 2 2 3 2 4 2 2" xfId="17250"/>
    <cellStyle name="Normalny 3 2 2 2 3 2 4 2 3" xfId="17251"/>
    <cellStyle name="Normalny 3 2 2 2 3 2 4 3" xfId="17252"/>
    <cellStyle name="Normalny 3 2 2 2 3 2 4 4" xfId="17253"/>
    <cellStyle name="Normalny 3 2 2 2 3 2 5" xfId="17254"/>
    <cellStyle name="Normalny 3 2 2 2 3 2 5 2" xfId="17255"/>
    <cellStyle name="Normalny 3 2 2 2 3 2 5 3" xfId="17256"/>
    <cellStyle name="Normalny 3 2 2 2 3 2 6" xfId="17257"/>
    <cellStyle name="Normalny 3 2 2 2 3 2 7" xfId="17258"/>
    <cellStyle name="Normalny 3 2 2 2 3 3" xfId="17259"/>
    <cellStyle name="Normalny 3 2 2 2 3 3 2" xfId="17260"/>
    <cellStyle name="Normalny 3 2 2 2 3 3 2 2" xfId="17261"/>
    <cellStyle name="Normalny 3 2 2 2 3 3 2 2 2" xfId="17262"/>
    <cellStyle name="Normalny 3 2 2 2 3 3 2 2 3" xfId="17263"/>
    <cellStyle name="Normalny 3 2 2 2 3 3 2 3" xfId="17264"/>
    <cellStyle name="Normalny 3 2 2 2 3 3 2 4" xfId="17265"/>
    <cellStyle name="Normalny 3 2 2 2 3 3 3" xfId="17266"/>
    <cellStyle name="Normalny 3 2 2 2 3 3 3 2" xfId="17267"/>
    <cellStyle name="Normalny 3 2 2 2 3 3 3 2 2" xfId="17268"/>
    <cellStyle name="Normalny 3 2 2 2 3 3 3 2 3" xfId="17269"/>
    <cellStyle name="Normalny 3 2 2 2 3 3 3 3" xfId="17270"/>
    <cellStyle name="Normalny 3 2 2 2 3 3 3 4" xfId="17271"/>
    <cellStyle name="Normalny 3 2 2 2 3 3 4" xfId="17272"/>
    <cellStyle name="Normalny 3 2 2 2 3 3 4 2" xfId="17273"/>
    <cellStyle name="Normalny 3 2 2 2 3 3 4 2 2" xfId="17274"/>
    <cellStyle name="Normalny 3 2 2 2 3 3 4 2 3" xfId="17275"/>
    <cellStyle name="Normalny 3 2 2 2 3 3 4 3" xfId="17276"/>
    <cellStyle name="Normalny 3 2 2 2 3 3 4 4" xfId="17277"/>
    <cellStyle name="Normalny 3 2 2 2 3 3 5" xfId="17278"/>
    <cellStyle name="Normalny 3 2 2 2 3 3 5 2" xfId="17279"/>
    <cellStyle name="Normalny 3 2 2 2 3 3 5 3" xfId="17280"/>
    <cellStyle name="Normalny 3 2 2 2 3 3 6" xfId="17281"/>
    <cellStyle name="Normalny 3 2 2 2 3 3 7" xfId="17282"/>
    <cellStyle name="Normalny 3 2 2 2 3 4" xfId="17283"/>
    <cellStyle name="Normalny 3 2 2 2 3 4 2" xfId="17284"/>
    <cellStyle name="Normalny 3 2 2 2 3 4 2 2" xfId="17285"/>
    <cellStyle name="Normalny 3 2 2 2 3 4 2 2 2" xfId="17286"/>
    <cellStyle name="Normalny 3 2 2 2 3 4 2 2 3" xfId="17287"/>
    <cellStyle name="Normalny 3 2 2 2 3 4 2 3" xfId="17288"/>
    <cellStyle name="Normalny 3 2 2 2 3 4 2 4" xfId="17289"/>
    <cellStyle name="Normalny 3 2 2 2 3 4 3" xfId="17290"/>
    <cellStyle name="Normalny 3 2 2 2 3 4 3 2" xfId="17291"/>
    <cellStyle name="Normalny 3 2 2 2 3 4 3 3" xfId="17292"/>
    <cellStyle name="Normalny 3 2 2 2 3 4 4" xfId="17293"/>
    <cellStyle name="Normalny 3 2 2 2 3 4 5" xfId="17294"/>
    <cellStyle name="Normalny 3 2 2 2 3 5" xfId="17295"/>
    <cellStyle name="Normalny 3 2 2 2 3 5 2" xfId="17296"/>
    <cellStyle name="Normalny 3 2 2 2 3 5 2 2" xfId="17297"/>
    <cellStyle name="Normalny 3 2 2 2 3 5 2 3" xfId="17298"/>
    <cellStyle name="Normalny 3 2 2 2 3 5 3" xfId="17299"/>
    <cellStyle name="Normalny 3 2 2 2 3 5 4" xfId="17300"/>
    <cellStyle name="Normalny 3 2 2 2 3 6" xfId="17301"/>
    <cellStyle name="Normalny 3 2 2 2 3 6 2" xfId="17302"/>
    <cellStyle name="Normalny 3 2 2 2 3 6 2 2" xfId="17303"/>
    <cellStyle name="Normalny 3 2 2 2 3 6 2 3" xfId="17304"/>
    <cellStyle name="Normalny 3 2 2 2 3 6 3" xfId="17305"/>
    <cellStyle name="Normalny 3 2 2 2 3 6 4" xfId="17306"/>
    <cellStyle name="Normalny 3 2 2 2 3 7" xfId="17307"/>
    <cellStyle name="Normalny 3 2 2 2 3 7 2" xfId="17308"/>
    <cellStyle name="Normalny 3 2 2 2 3 7 2 2" xfId="17309"/>
    <cellStyle name="Normalny 3 2 2 2 3 7 2 3" xfId="17310"/>
    <cellStyle name="Normalny 3 2 2 2 3 7 3" xfId="17311"/>
    <cellStyle name="Normalny 3 2 2 2 3 7 4" xfId="17312"/>
    <cellStyle name="Normalny 3 2 2 2 3 8" xfId="17313"/>
    <cellStyle name="Normalny 3 2 2 2 3 8 2" xfId="17314"/>
    <cellStyle name="Normalny 3 2 2 2 3 8 3" xfId="17315"/>
    <cellStyle name="Normalny 3 2 2 2 3 9" xfId="17316"/>
    <cellStyle name="Normalny 3 2 2 2 4" xfId="17317"/>
    <cellStyle name="Normalny 3 2 2 2 4 2" xfId="17318"/>
    <cellStyle name="Normalny 3 2 2 2 4 2 2" xfId="17319"/>
    <cellStyle name="Normalny 3 2 2 2 4 2 2 2" xfId="17320"/>
    <cellStyle name="Normalny 3 2 2 2 4 2 2 2 2" xfId="17321"/>
    <cellStyle name="Normalny 3 2 2 2 4 2 2 2 3" xfId="17322"/>
    <cellStyle name="Normalny 3 2 2 2 4 2 2 3" xfId="17323"/>
    <cellStyle name="Normalny 3 2 2 2 4 2 2 4" xfId="17324"/>
    <cellStyle name="Normalny 3 2 2 2 4 2 3" xfId="17325"/>
    <cellStyle name="Normalny 3 2 2 2 4 2 3 2" xfId="17326"/>
    <cellStyle name="Normalny 3 2 2 2 4 2 3 2 2" xfId="17327"/>
    <cellStyle name="Normalny 3 2 2 2 4 2 3 2 3" xfId="17328"/>
    <cellStyle name="Normalny 3 2 2 2 4 2 3 3" xfId="17329"/>
    <cellStyle name="Normalny 3 2 2 2 4 2 3 4" xfId="17330"/>
    <cellStyle name="Normalny 3 2 2 2 4 2 4" xfId="17331"/>
    <cellStyle name="Normalny 3 2 2 2 4 2 4 2" xfId="17332"/>
    <cellStyle name="Normalny 3 2 2 2 4 2 4 2 2" xfId="17333"/>
    <cellStyle name="Normalny 3 2 2 2 4 2 4 2 3" xfId="17334"/>
    <cellStyle name="Normalny 3 2 2 2 4 2 4 3" xfId="17335"/>
    <cellStyle name="Normalny 3 2 2 2 4 2 4 4" xfId="17336"/>
    <cellStyle name="Normalny 3 2 2 2 4 2 5" xfId="17337"/>
    <cellStyle name="Normalny 3 2 2 2 4 2 5 2" xfId="17338"/>
    <cellStyle name="Normalny 3 2 2 2 4 2 5 3" xfId="17339"/>
    <cellStyle name="Normalny 3 2 2 2 4 2 6" xfId="17340"/>
    <cellStyle name="Normalny 3 2 2 2 4 2 7" xfId="17341"/>
    <cellStyle name="Normalny 3 2 2 2 4 3" xfId="17342"/>
    <cellStyle name="Normalny 3 2 2 2 4 3 2" xfId="17343"/>
    <cellStyle name="Normalny 3 2 2 2 4 3 2 2" xfId="17344"/>
    <cellStyle name="Normalny 3 2 2 2 4 3 2 2 2" xfId="17345"/>
    <cellStyle name="Normalny 3 2 2 2 4 3 2 2 3" xfId="17346"/>
    <cellStyle name="Normalny 3 2 2 2 4 3 2 3" xfId="17347"/>
    <cellStyle name="Normalny 3 2 2 2 4 3 2 4" xfId="17348"/>
    <cellStyle name="Normalny 3 2 2 2 4 3 3" xfId="17349"/>
    <cellStyle name="Normalny 3 2 2 2 4 3 3 2" xfId="17350"/>
    <cellStyle name="Normalny 3 2 2 2 4 3 3 2 2" xfId="17351"/>
    <cellStyle name="Normalny 3 2 2 2 4 3 3 2 3" xfId="17352"/>
    <cellStyle name="Normalny 3 2 2 2 4 3 3 3" xfId="17353"/>
    <cellStyle name="Normalny 3 2 2 2 4 3 3 4" xfId="17354"/>
    <cellStyle name="Normalny 3 2 2 2 4 3 4" xfId="17355"/>
    <cellStyle name="Normalny 3 2 2 2 4 3 4 2" xfId="17356"/>
    <cellStyle name="Normalny 3 2 2 2 4 3 4 2 2" xfId="17357"/>
    <cellStyle name="Normalny 3 2 2 2 4 3 4 2 3" xfId="17358"/>
    <cellStyle name="Normalny 3 2 2 2 4 3 4 3" xfId="17359"/>
    <cellStyle name="Normalny 3 2 2 2 4 3 4 4" xfId="17360"/>
    <cellStyle name="Normalny 3 2 2 2 4 3 5" xfId="17361"/>
    <cellStyle name="Normalny 3 2 2 2 4 3 5 2" xfId="17362"/>
    <cellStyle name="Normalny 3 2 2 2 4 3 5 3" xfId="17363"/>
    <cellStyle name="Normalny 3 2 2 2 4 3 6" xfId="17364"/>
    <cellStyle name="Normalny 3 2 2 2 4 3 7" xfId="17365"/>
    <cellStyle name="Normalny 3 2 2 2 4 4" xfId="17366"/>
    <cellStyle name="Normalny 3 2 2 2 4 4 2" xfId="17367"/>
    <cellStyle name="Normalny 3 2 2 2 4 4 2 2" xfId="17368"/>
    <cellStyle name="Normalny 3 2 2 2 4 4 2 3" xfId="17369"/>
    <cellStyle name="Normalny 3 2 2 2 4 4 3" xfId="17370"/>
    <cellStyle name="Normalny 3 2 2 2 4 4 4" xfId="17371"/>
    <cellStyle name="Normalny 3 2 2 2 4 5" xfId="17372"/>
    <cellStyle name="Normalny 3 2 2 2 4 5 2" xfId="17373"/>
    <cellStyle name="Normalny 3 2 2 2 4 5 2 2" xfId="17374"/>
    <cellStyle name="Normalny 3 2 2 2 4 5 2 3" xfId="17375"/>
    <cellStyle name="Normalny 3 2 2 2 4 5 3" xfId="17376"/>
    <cellStyle name="Normalny 3 2 2 2 4 5 4" xfId="17377"/>
    <cellStyle name="Normalny 3 2 2 2 4 6" xfId="17378"/>
    <cellStyle name="Normalny 3 2 2 2 4 6 2" xfId="17379"/>
    <cellStyle name="Normalny 3 2 2 2 4 6 2 2" xfId="17380"/>
    <cellStyle name="Normalny 3 2 2 2 4 6 2 3" xfId="17381"/>
    <cellStyle name="Normalny 3 2 2 2 4 6 3" xfId="17382"/>
    <cellStyle name="Normalny 3 2 2 2 4 6 4" xfId="17383"/>
    <cellStyle name="Normalny 3 2 2 2 4 7" xfId="17384"/>
    <cellStyle name="Normalny 3 2 2 2 4 7 2" xfId="17385"/>
    <cellStyle name="Normalny 3 2 2 2 4 7 3" xfId="17386"/>
    <cellStyle name="Normalny 3 2 2 2 4 8" xfId="17387"/>
    <cellStyle name="Normalny 3 2 2 2 4 9" xfId="17388"/>
    <cellStyle name="Normalny 3 2 2 2 5" xfId="17389"/>
    <cellStyle name="Normalny 3 2 2 2 5 2" xfId="17390"/>
    <cellStyle name="Normalny 3 2 2 2 5 2 2" xfId="17391"/>
    <cellStyle name="Normalny 3 2 2 2 5 2 2 2" xfId="17392"/>
    <cellStyle name="Normalny 3 2 2 2 5 2 2 3" xfId="17393"/>
    <cellStyle name="Normalny 3 2 2 2 5 2 3" xfId="17394"/>
    <cellStyle name="Normalny 3 2 2 2 5 2 4" xfId="17395"/>
    <cellStyle name="Normalny 3 2 2 2 5 3" xfId="17396"/>
    <cellStyle name="Normalny 3 2 2 2 5 3 2" xfId="17397"/>
    <cellStyle name="Normalny 3 2 2 2 5 3 2 2" xfId="17398"/>
    <cellStyle name="Normalny 3 2 2 2 5 3 2 3" xfId="17399"/>
    <cellStyle name="Normalny 3 2 2 2 5 3 3" xfId="17400"/>
    <cellStyle name="Normalny 3 2 2 2 5 3 4" xfId="17401"/>
    <cellStyle name="Normalny 3 2 2 2 5 4" xfId="17402"/>
    <cellStyle name="Normalny 3 2 2 2 5 4 2" xfId="17403"/>
    <cellStyle name="Normalny 3 2 2 2 5 4 2 2" xfId="17404"/>
    <cellStyle name="Normalny 3 2 2 2 5 4 2 3" xfId="17405"/>
    <cellStyle name="Normalny 3 2 2 2 5 4 3" xfId="17406"/>
    <cellStyle name="Normalny 3 2 2 2 5 4 4" xfId="17407"/>
    <cellStyle name="Normalny 3 2 2 2 5 5" xfId="17408"/>
    <cellStyle name="Normalny 3 2 2 2 5 5 2" xfId="17409"/>
    <cellStyle name="Normalny 3 2 2 2 5 5 3" xfId="17410"/>
    <cellStyle name="Normalny 3 2 2 2 5 6" xfId="17411"/>
    <cellStyle name="Normalny 3 2 2 2 5 7" xfId="17412"/>
    <cellStyle name="Normalny 3 2 2 2 6" xfId="17413"/>
    <cellStyle name="Normalny 3 2 2 2 6 2" xfId="17414"/>
    <cellStyle name="Normalny 3 2 2 2 6 2 2" xfId="17415"/>
    <cellStyle name="Normalny 3 2 2 2 6 2 2 2" xfId="17416"/>
    <cellStyle name="Normalny 3 2 2 2 6 2 2 3" xfId="17417"/>
    <cellStyle name="Normalny 3 2 2 2 6 2 3" xfId="17418"/>
    <cellStyle name="Normalny 3 2 2 2 6 2 4" xfId="17419"/>
    <cellStyle name="Normalny 3 2 2 2 6 3" xfId="17420"/>
    <cellStyle name="Normalny 3 2 2 2 6 3 2" xfId="17421"/>
    <cellStyle name="Normalny 3 2 2 2 6 3 2 2" xfId="17422"/>
    <cellStyle name="Normalny 3 2 2 2 6 3 2 3" xfId="17423"/>
    <cellStyle name="Normalny 3 2 2 2 6 3 3" xfId="17424"/>
    <cellStyle name="Normalny 3 2 2 2 6 3 4" xfId="17425"/>
    <cellStyle name="Normalny 3 2 2 2 6 4" xfId="17426"/>
    <cellStyle name="Normalny 3 2 2 2 6 4 2" xfId="17427"/>
    <cellStyle name="Normalny 3 2 2 2 6 4 2 2" xfId="17428"/>
    <cellStyle name="Normalny 3 2 2 2 6 4 2 3" xfId="17429"/>
    <cellStyle name="Normalny 3 2 2 2 6 4 3" xfId="17430"/>
    <cellStyle name="Normalny 3 2 2 2 6 4 4" xfId="17431"/>
    <cellStyle name="Normalny 3 2 2 2 6 5" xfId="17432"/>
    <cellStyle name="Normalny 3 2 2 2 6 5 2" xfId="17433"/>
    <cellStyle name="Normalny 3 2 2 2 6 5 3" xfId="17434"/>
    <cellStyle name="Normalny 3 2 2 2 6 6" xfId="17435"/>
    <cellStyle name="Normalny 3 2 2 2 6 7" xfId="17436"/>
    <cellStyle name="Normalny 3 2 2 2 7" xfId="17437"/>
    <cellStyle name="Normalny 3 2 2 2 7 2" xfId="17438"/>
    <cellStyle name="Normalny 3 2 2 2 7 2 2" xfId="17439"/>
    <cellStyle name="Normalny 3 2 2 2 7 2 2 2" xfId="17440"/>
    <cellStyle name="Normalny 3 2 2 2 7 2 2 3" xfId="17441"/>
    <cellStyle name="Normalny 3 2 2 2 7 2 3" xfId="17442"/>
    <cellStyle name="Normalny 3 2 2 2 7 2 4" xfId="17443"/>
    <cellStyle name="Normalny 3 2 2 2 7 3" xfId="17444"/>
    <cellStyle name="Normalny 3 2 2 2 7 3 2" xfId="17445"/>
    <cellStyle name="Normalny 3 2 2 2 7 3 3" xfId="17446"/>
    <cellStyle name="Normalny 3 2 2 2 7 4" xfId="17447"/>
    <cellStyle name="Normalny 3 2 2 2 7 5" xfId="17448"/>
    <cellStyle name="Normalny 3 2 2 2 8" xfId="17449"/>
    <cellStyle name="Normalny 3 2 2 2 8 2" xfId="17450"/>
    <cellStyle name="Normalny 3 2 2 2 8 2 2" xfId="17451"/>
    <cellStyle name="Normalny 3 2 2 2 8 2 3" xfId="17452"/>
    <cellStyle name="Normalny 3 2 2 2 8 3" xfId="17453"/>
    <cellStyle name="Normalny 3 2 2 2 8 4" xfId="17454"/>
    <cellStyle name="Normalny 3 2 2 2 9" xfId="17455"/>
    <cellStyle name="Normalny 3 2 2 2 9 2" xfId="17456"/>
    <cellStyle name="Normalny 3 2 2 2 9 2 2" xfId="17457"/>
    <cellStyle name="Normalny 3 2 2 2 9 2 3" xfId="17458"/>
    <cellStyle name="Normalny 3 2 2 2 9 3" xfId="17459"/>
    <cellStyle name="Normalny 3 2 2 2 9 4" xfId="17460"/>
    <cellStyle name="Normalny 3 2 2 3" xfId="17461"/>
    <cellStyle name="Normalny 3 2 2 3 10" xfId="17462"/>
    <cellStyle name="Normalny 3 2 2 3 11" xfId="17463"/>
    <cellStyle name="Normalny 3 2 2 3 2" xfId="17464"/>
    <cellStyle name="Normalny 3 2 2 3 2 10" xfId="17465"/>
    <cellStyle name="Normalny 3 2 2 3 2 2" xfId="17466"/>
    <cellStyle name="Normalny 3 2 2 3 2 2 2" xfId="17467"/>
    <cellStyle name="Normalny 3 2 2 3 2 2 2 2" xfId="17468"/>
    <cellStyle name="Normalny 3 2 2 3 2 2 2 2 2" xfId="17469"/>
    <cellStyle name="Normalny 3 2 2 3 2 2 2 2 3" xfId="17470"/>
    <cellStyle name="Normalny 3 2 2 3 2 2 2 3" xfId="17471"/>
    <cellStyle name="Normalny 3 2 2 3 2 2 2 4" xfId="17472"/>
    <cellStyle name="Normalny 3 2 2 3 2 2 3" xfId="17473"/>
    <cellStyle name="Normalny 3 2 2 3 2 2 3 2" xfId="17474"/>
    <cellStyle name="Normalny 3 2 2 3 2 2 3 2 2" xfId="17475"/>
    <cellStyle name="Normalny 3 2 2 3 2 2 3 2 3" xfId="17476"/>
    <cellStyle name="Normalny 3 2 2 3 2 2 3 3" xfId="17477"/>
    <cellStyle name="Normalny 3 2 2 3 2 2 3 4" xfId="17478"/>
    <cellStyle name="Normalny 3 2 2 3 2 2 4" xfId="17479"/>
    <cellStyle name="Normalny 3 2 2 3 2 2 4 2" xfId="17480"/>
    <cellStyle name="Normalny 3 2 2 3 2 2 4 2 2" xfId="17481"/>
    <cellStyle name="Normalny 3 2 2 3 2 2 4 2 3" xfId="17482"/>
    <cellStyle name="Normalny 3 2 2 3 2 2 4 3" xfId="17483"/>
    <cellStyle name="Normalny 3 2 2 3 2 2 4 4" xfId="17484"/>
    <cellStyle name="Normalny 3 2 2 3 2 2 5" xfId="17485"/>
    <cellStyle name="Normalny 3 2 2 3 2 2 5 2" xfId="17486"/>
    <cellStyle name="Normalny 3 2 2 3 2 2 5 3" xfId="17487"/>
    <cellStyle name="Normalny 3 2 2 3 2 2 6" xfId="17488"/>
    <cellStyle name="Normalny 3 2 2 3 2 2 7" xfId="17489"/>
    <cellStyle name="Normalny 3 2 2 3 2 3" xfId="17490"/>
    <cellStyle name="Normalny 3 2 2 3 2 3 2" xfId="17491"/>
    <cellStyle name="Normalny 3 2 2 3 2 3 2 2" xfId="17492"/>
    <cellStyle name="Normalny 3 2 2 3 2 3 2 2 2" xfId="17493"/>
    <cellStyle name="Normalny 3 2 2 3 2 3 2 2 3" xfId="17494"/>
    <cellStyle name="Normalny 3 2 2 3 2 3 2 3" xfId="17495"/>
    <cellStyle name="Normalny 3 2 2 3 2 3 2 4" xfId="17496"/>
    <cellStyle name="Normalny 3 2 2 3 2 3 3" xfId="17497"/>
    <cellStyle name="Normalny 3 2 2 3 2 3 3 2" xfId="17498"/>
    <cellStyle name="Normalny 3 2 2 3 2 3 3 2 2" xfId="17499"/>
    <cellStyle name="Normalny 3 2 2 3 2 3 3 2 3" xfId="17500"/>
    <cellStyle name="Normalny 3 2 2 3 2 3 3 3" xfId="17501"/>
    <cellStyle name="Normalny 3 2 2 3 2 3 3 4" xfId="17502"/>
    <cellStyle name="Normalny 3 2 2 3 2 3 4" xfId="17503"/>
    <cellStyle name="Normalny 3 2 2 3 2 3 4 2" xfId="17504"/>
    <cellStyle name="Normalny 3 2 2 3 2 3 4 2 2" xfId="17505"/>
    <cellStyle name="Normalny 3 2 2 3 2 3 4 2 3" xfId="17506"/>
    <cellStyle name="Normalny 3 2 2 3 2 3 4 3" xfId="17507"/>
    <cellStyle name="Normalny 3 2 2 3 2 3 4 4" xfId="17508"/>
    <cellStyle name="Normalny 3 2 2 3 2 3 5" xfId="17509"/>
    <cellStyle name="Normalny 3 2 2 3 2 3 5 2" xfId="17510"/>
    <cellStyle name="Normalny 3 2 2 3 2 3 5 3" xfId="17511"/>
    <cellStyle name="Normalny 3 2 2 3 2 3 6" xfId="17512"/>
    <cellStyle name="Normalny 3 2 2 3 2 3 7" xfId="17513"/>
    <cellStyle name="Normalny 3 2 2 3 2 4" xfId="17514"/>
    <cellStyle name="Normalny 3 2 2 3 2 4 2" xfId="17515"/>
    <cellStyle name="Normalny 3 2 2 3 2 4 2 2" xfId="17516"/>
    <cellStyle name="Normalny 3 2 2 3 2 4 2 2 2" xfId="17517"/>
    <cellStyle name="Normalny 3 2 2 3 2 4 2 2 3" xfId="17518"/>
    <cellStyle name="Normalny 3 2 2 3 2 4 2 3" xfId="17519"/>
    <cellStyle name="Normalny 3 2 2 3 2 4 2 4" xfId="17520"/>
    <cellStyle name="Normalny 3 2 2 3 2 4 3" xfId="17521"/>
    <cellStyle name="Normalny 3 2 2 3 2 4 3 2" xfId="17522"/>
    <cellStyle name="Normalny 3 2 2 3 2 4 3 3" xfId="17523"/>
    <cellStyle name="Normalny 3 2 2 3 2 4 4" xfId="17524"/>
    <cellStyle name="Normalny 3 2 2 3 2 4 5" xfId="17525"/>
    <cellStyle name="Normalny 3 2 2 3 2 5" xfId="17526"/>
    <cellStyle name="Normalny 3 2 2 3 2 5 2" xfId="17527"/>
    <cellStyle name="Normalny 3 2 2 3 2 5 2 2" xfId="17528"/>
    <cellStyle name="Normalny 3 2 2 3 2 5 2 3" xfId="17529"/>
    <cellStyle name="Normalny 3 2 2 3 2 5 3" xfId="17530"/>
    <cellStyle name="Normalny 3 2 2 3 2 5 4" xfId="17531"/>
    <cellStyle name="Normalny 3 2 2 3 2 6" xfId="17532"/>
    <cellStyle name="Normalny 3 2 2 3 2 6 2" xfId="17533"/>
    <cellStyle name="Normalny 3 2 2 3 2 6 2 2" xfId="17534"/>
    <cellStyle name="Normalny 3 2 2 3 2 6 2 3" xfId="17535"/>
    <cellStyle name="Normalny 3 2 2 3 2 6 3" xfId="17536"/>
    <cellStyle name="Normalny 3 2 2 3 2 6 4" xfId="17537"/>
    <cellStyle name="Normalny 3 2 2 3 2 7" xfId="17538"/>
    <cellStyle name="Normalny 3 2 2 3 2 7 2" xfId="17539"/>
    <cellStyle name="Normalny 3 2 2 3 2 7 2 2" xfId="17540"/>
    <cellStyle name="Normalny 3 2 2 3 2 7 2 3" xfId="17541"/>
    <cellStyle name="Normalny 3 2 2 3 2 7 3" xfId="17542"/>
    <cellStyle name="Normalny 3 2 2 3 2 7 4" xfId="17543"/>
    <cellStyle name="Normalny 3 2 2 3 2 8" xfId="17544"/>
    <cellStyle name="Normalny 3 2 2 3 2 8 2" xfId="17545"/>
    <cellStyle name="Normalny 3 2 2 3 2 8 3" xfId="17546"/>
    <cellStyle name="Normalny 3 2 2 3 2 9" xfId="17547"/>
    <cellStyle name="Normalny 3 2 2 3 3" xfId="17548"/>
    <cellStyle name="Normalny 3 2 2 3 3 2" xfId="17549"/>
    <cellStyle name="Normalny 3 2 2 3 3 2 2" xfId="17550"/>
    <cellStyle name="Normalny 3 2 2 3 3 2 2 2" xfId="17551"/>
    <cellStyle name="Normalny 3 2 2 3 3 2 2 3" xfId="17552"/>
    <cellStyle name="Normalny 3 2 2 3 3 2 3" xfId="17553"/>
    <cellStyle name="Normalny 3 2 2 3 3 2 4" xfId="17554"/>
    <cellStyle name="Normalny 3 2 2 3 3 3" xfId="17555"/>
    <cellStyle name="Normalny 3 2 2 3 3 3 2" xfId="17556"/>
    <cellStyle name="Normalny 3 2 2 3 3 3 2 2" xfId="17557"/>
    <cellStyle name="Normalny 3 2 2 3 3 3 2 3" xfId="17558"/>
    <cellStyle name="Normalny 3 2 2 3 3 3 3" xfId="17559"/>
    <cellStyle name="Normalny 3 2 2 3 3 3 4" xfId="17560"/>
    <cellStyle name="Normalny 3 2 2 3 3 4" xfId="17561"/>
    <cellStyle name="Normalny 3 2 2 3 3 4 2" xfId="17562"/>
    <cellStyle name="Normalny 3 2 2 3 3 4 2 2" xfId="17563"/>
    <cellStyle name="Normalny 3 2 2 3 3 4 2 3" xfId="17564"/>
    <cellStyle name="Normalny 3 2 2 3 3 4 3" xfId="17565"/>
    <cellStyle name="Normalny 3 2 2 3 3 4 4" xfId="17566"/>
    <cellStyle name="Normalny 3 2 2 3 3 5" xfId="17567"/>
    <cellStyle name="Normalny 3 2 2 3 3 5 2" xfId="17568"/>
    <cellStyle name="Normalny 3 2 2 3 3 5 3" xfId="17569"/>
    <cellStyle name="Normalny 3 2 2 3 3 6" xfId="17570"/>
    <cellStyle name="Normalny 3 2 2 3 3 7" xfId="17571"/>
    <cellStyle name="Normalny 3 2 2 3 4" xfId="17572"/>
    <cellStyle name="Normalny 3 2 2 3 4 2" xfId="17573"/>
    <cellStyle name="Normalny 3 2 2 3 4 2 2" xfId="17574"/>
    <cellStyle name="Normalny 3 2 2 3 4 2 2 2" xfId="17575"/>
    <cellStyle name="Normalny 3 2 2 3 4 2 2 3" xfId="17576"/>
    <cellStyle name="Normalny 3 2 2 3 4 2 3" xfId="17577"/>
    <cellStyle name="Normalny 3 2 2 3 4 2 4" xfId="17578"/>
    <cellStyle name="Normalny 3 2 2 3 4 3" xfId="17579"/>
    <cellStyle name="Normalny 3 2 2 3 4 3 2" xfId="17580"/>
    <cellStyle name="Normalny 3 2 2 3 4 3 2 2" xfId="17581"/>
    <cellStyle name="Normalny 3 2 2 3 4 3 2 3" xfId="17582"/>
    <cellStyle name="Normalny 3 2 2 3 4 3 3" xfId="17583"/>
    <cellStyle name="Normalny 3 2 2 3 4 3 4" xfId="17584"/>
    <cellStyle name="Normalny 3 2 2 3 4 4" xfId="17585"/>
    <cellStyle name="Normalny 3 2 2 3 4 4 2" xfId="17586"/>
    <cellStyle name="Normalny 3 2 2 3 4 4 2 2" xfId="17587"/>
    <cellStyle name="Normalny 3 2 2 3 4 4 2 3" xfId="17588"/>
    <cellStyle name="Normalny 3 2 2 3 4 4 3" xfId="17589"/>
    <cellStyle name="Normalny 3 2 2 3 4 4 4" xfId="17590"/>
    <cellStyle name="Normalny 3 2 2 3 4 5" xfId="17591"/>
    <cellStyle name="Normalny 3 2 2 3 4 5 2" xfId="17592"/>
    <cellStyle name="Normalny 3 2 2 3 4 5 3" xfId="17593"/>
    <cellStyle name="Normalny 3 2 2 3 4 6" xfId="17594"/>
    <cellStyle name="Normalny 3 2 2 3 4 7" xfId="17595"/>
    <cellStyle name="Normalny 3 2 2 3 5" xfId="17596"/>
    <cellStyle name="Normalny 3 2 2 3 5 2" xfId="17597"/>
    <cellStyle name="Normalny 3 2 2 3 5 2 2" xfId="17598"/>
    <cellStyle name="Normalny 3 2 2 3 5 2 2 2" xfId="17599"/>
    <cellStyle name="Normalny 3 2 2 3 5 2 2 3" xfId="17600"/>
    <cellStyle name="Normalny 3 2 2 3 5 2 3" xfId="17601"/>
    <cellStyle name="Normalny 3 2 2 3 5 2 4" xfId="17602"/>
    <cellStyle name="Normalny 3 2 2 3 5 3" xfId="17603"/>
    <cellStyle name="Normalny 3 2 2 3 5 3 2" xfId="17604"/>
    <cellStyle name="Normalny 3 2 2 3 5 3 3" xfId="17605"/>
    <cellStyle name="Normalny 3 2 2 3 5 4" xfId="17606"/>
    <cellStyle name="Normalny 3 2 2 3 5 5" xfId="17607"/>
    <cellStyle name="Normalny 3 2 2 3 6" xfId="17608"/>
    <cellStyle name="Normalny 3 2 2 3 6 2" xfId="17609"/>
    <cellStyle name="Normalny 3 2 2 3 6 2 2" xfId="17610"/>
    <cellStyle name="Normalny 3 2 2 3 6 2 3" xfId="17611"/>
    <cellStyle name="Normalny 3 2 2 3 6 3" xfId="17612"/>
    <cellStyle name="Normalny 3 2 2 3 6 4" xfId="17613"/>
    <cellStyle name="Normalny 3 2 2 3 7" xfId="17614"/>
    <cellStyle name="Normalny 3 2 2 3 7 2" xfId="17615"/>
    <cellStyle name="Normalny 3 2 2 3 7 2 2" xfId="17616"/>
    <cellStyle name="Normalny 3 2 2 3 7 2 3" xfId="17617"/>
    <cellStyle name="Normalny 3 2 2 3 7 3" xfId="17618"/>
    <cellStyle name="Normalny 3 2 2 3 7 4" xfId="17619"/>
    <cellStyle name="Normalny 3 2 2 3 8" xfId="17620"/>
    <cellStyle name="Normalny 3 2 2 3 8 2" xfId="17621"/>
    <cellStyle name="Normalny 3 2 2 3 8 2 2" xfId="17622"/>
    <cellStyle name="Normalny 3 2 2 3 8 2 3" xfId="17623"/>
    <cellStyle name="Normalny 3 2 2 3 8 3" xfId="17624"/>
    <cellStyle name="Normalny 3 2 2 3 8 4" xfId="17625"/>
    <cellStyle name="Normalny 3 2 2 3 9" xfId="17626"/>
    <cellStyle name="Normalny 3 2 2 3 9 2" xfId="17627"/>
    <cellStyle name="Normalny 3 2 2 3 9 3" xfId="17628"/>
    <cellStyle name="Normalny 3 2 2 4" xfId="17629"/>
    <cellStyle name="Normalny 3 2 2 4 10" xfId="17630"/>
    <cellStyle name="Normalny 3 2 2 4 2" xfId="17631"/>
    <cellStyle name="Normalny 3 2 2 4 2 2" xfId="17632"/>
    <cellStyle name="Normalny 3 2 2 4 2 2 2" xfId="17633"/>
    <cellStyle name="Normalny 3 2 2 4 2 2 2 2" xfId="17634"/>
    <cellStyle name="Normalny 3 2 2 4 2 2 2 3" xfId="17635"/>
    <cellStyle name="Normalny 3 2 2 4 2 2 3" xfId="17636"/>
    <cellStyle name="Normalny 3 2 2 4 2 2 4" xfId="17637"/>
    <cellStyle name="Normalny 3 2 2 4 2 3" xfId="17638"/>
    <cellStyle name="Normalny 3 2 2 4 2 3 2" xfId="17639"/>
    <cellStyle name="Normalny 3 2 2 4 2 3 2 2" xfId="17640"/>
    <cellStyle name="Normalny 3 2 2 4 2 3 2 3" xfId="17641"/>
    <cellStyle name="Normalny 3 2 2 4 2 3 3" xfId="17642"/>
    <cellStyle name="Normalny 3 2 2 4 2 3 4" xfId="17643"/>
    <cellStyle name="Normalny 3 2 2 4 2 4" xfId="17644"/>
    <cellStyle name="Normalny 3 2 2 4 2 4 2" xfId="17645"/>
    <cellStyle name="Normalny 3 2 2 4 2 4 2 2" xfId="17646"/>
    <cellStyle name="Normalny 3 2 2 4 2 4 2 3" xfId="17647"/>
    <cellStyle name="Normalny 3 2 2 4 2 4 3" xfId="17648"/>
    <cellStyle name="Normalny 3 2 2 4 2 4 4" xfId="17649"/>
    <cellStyle name="Normalny 3 2 2 4 2 5" xfId="17650"/>
    <cellStyle name="Normalny 3 2 2 4 2 5 2" xfId="17651"/>
    <cellStyle name="Normalny 3 2 2 4 2 5 3" xfId="17652"/>
    <cellStyle name="Normalny 3 2 2 4 2 6" xfId="17653"/>
    <cellStyle name="Normalny 3 2 2 4 2 7" xfId="17654"/>
    <cellStyle name="Normalny 3 2 2 4 3" xfId="17655"/>
    <cellStyle name="Normalny 3 2 2 4 3 2" xfId="17656"/>
    <cellStyle name="Normalny 3 2 2 4 3 2 2" xfId="17657"/>
    <cellStyle name="Normalny 3 2 2 4 3 2 2 2" xfId="17658"/>
    <cellStyle name="Normalny 3 2 2 4 3 2 2 3" xfId="17659"/>
    <cellStyle name="Normalny 3 2 2 4 3 2 3" xfId="17660"/>
    <cellStyle name="Normalny 3 2 2 4 3 2 4" xfId="17661"/>
    <cellStyle name="Normalny 3 2 2 4 3 3" xfId="17662"/>
    <cellStyle name="Normalny 3 2 2 4 3 3 2" xfId="17663"/>
    <cellStyle name="Normalny 3 2 2 4 3 3 2 2" xfId="17664"/>
    <cellStyle name="Normalny 3 2 2 4 3 3 2 3" xfId="17665"/>
    <cellStyle name="Normalny 3 2 2 4 3 3 3" xfId="17666"/>
    <cellStyle name="Normalny 3 2 2 4 3 3 4" xfId="17667"/>
    <cellStyle name="Normalny 3 2 2 4 3 4" xfId="17668"/>
    <cellStyle name="Normalny 3 2 2 4 3 4 2" xfId="17669"/>
    <cellStyle name="Normalny 3 2 2 4 3 4 2 2" xfId="17670"/>
    <cellStyle name="Normalny 3 2 2 4 3 4 2 3" xfId="17671"/>
    <cellStyle name="Normalny 3 2 2 4 3 4 3" xfId="17672"/>
    <cellStyle name="Normalny 3 2 2 4 3 4 4" xfId="17673"/>
    <cellStyle name="Normalny 3 2 2 4 3 5" xfId="17674"/>
    <cellStyle name="Normalny 3 2 2 4 3 5 2" xfId="17675"/>
    <cellStyle name="Normalny 3 2 2 4 3 5 3" xfId="17676"/>
    <cellStyle name="Normalny 3 2 2 4 3 6" xfId="17677"/>
    <cellStyle name="Normalny 3 2 2 4 3 7" xfId="17678"/>
    <cellStyle name="Normalny 3 2 2 4 4" xfId="17679"/>
    <cellStyle name="Normalny 3 2 2 4 4 2" xfId="17680"/>
    <cellStyle name="Normalny 3 2 2 4 4 2 2" xfId="17681"/>
    <cellStyle name="Normalny 3 2 2 4 4 2 2 2" xfId="17682"/>
    <cellStyle name="Normalny 3 2 2 4 4 2 2 3" xfId="17683"/>
    <cellStyle name="Normalny 3 2 2 4 4 2 3" xfId="17684"/>
    <cellStyle name="Normalny 3 2 2 4 4 2 4" xfId="17685"/>
    <cellStyle name="Normalny 3 2 2 4 4 3" xfId="17686"/>
    <cellStyle name="Normalny 3 2 2 4 4 3 2" xfId="17687"/>
    <cellStyle name="Normalny 3 2 2 4 4 3 3" xfId="17688"/>
    <cellStyle name="Normalny 3 2 2 4 4 4" xfId="17689"/>
    <cellStyle name="Normalny 3 2 2 4 4 5" xfId="17690"/>
    <cellStyle name="Normalny 3 2 2 4 5" xfId="17691"/>
    <cellStyle name="Normalny 3 2 2 4 5 2" xfId="17692"/>
    <cellStyle name="Normalny 3 2 2 4 5 2 2" xfId="17693"/>
    <cellStyle name="Normalny 3 2 2 4 5 2 3" xfId="17694"/>
    <cellStyle name="Normalny 3 2 2 4 5 3" xfId="17695"/>
    <cellStyle name="Normalny 3 2 2 4 5 4" xfId="17696"/>
    <cellStyle name="Normalny 3 2 2 4 6" xfId="17697"/>
    <cellStyle name="Normalny 3 2 2 4 6 2" xfId="17698"/>
    <cellStyle name="Normalny 3 2 2 4 6 2 2" xfId="17699"/>
    <cellStyle name="Normalny 3 2 2 4 6 2 3" xfId="17700"/>
    <cellStyle name="Normalny 3 2 2 4 6 3" xfId="17701"/>
    <cellStyle name="Normalny 3 2 2 4 6 4" xfId="17702"/>
    <cellStyle name="Normalny 3 2 2 4 7" xfId="17703"/>
    <cellStyle name="Normalny 3 2 2 4 7 2" xfId="17704"/>
    <cellStyle name="Normalny 3 2 2 4 7 2 2" xfId="17705"/>
    <cellStyle name="Normalny 3 2 2 4 7 2 3" xfId="17706"/>
    <cellStyle name="Normalny 3 2 2 4 7 3" xfId="17707"/>
    <cellStyle name="Normalny 3 2 2 4 7 4" xfId="17708"/>
    <cellStyle name="Normalny 3 2 2 4 8" xfId="17709"/>
    <cellStyle name="Normalny 3 2 2 4 8 2" xfId="17710"/>
    <cellStyle name="Normalny 3 2 2 4 8 3" xfId="17711"/>
    <cellStyle name="Normalny 3 2 2 4 9" xfId="17712"/>
    <cellStyle name="Normalny 3 2 2 5" xfId="17713"/>
    <cellStyle name="Normalny 3 2 2 5 2" xfId="17714"/>
    <cellStyle name="Normalny 3 2 2 5 2 2" xfId="17715"/>
    <cellStyle name="Normalny 3 2 2 5 2 2 2" xfId="17716"/>
    <cellStyle name="Normalny 3 2 2 5 2 2 2 2" xfId="17717"/>
    <cellStyle name="Normalny 3 2 2 5 2 2 2 3" xfId="17718"/>
    <cellStyle name="Normalny 3 2 2 5 2 2 3" xfId="17719"/>
    <cellStyle name="Normalny 3 2 2 5 2 2 4" xfId="17720"/>
    <cellStyle name="Normalny 3 2 2 5 2 3" xfId="17721"/>
    <cellStyle name="Normalny 3 2 2 5 2 3 2" xfId="17722"/>
    <cellStyle name="Normalny 3 2 2 5 2 3 2 2" xfId="17723"/>
    <cellStyle name="Normalny 3 2 2 5 2 3 2 3" xfId="17724"/>
    <cellStyle name="Normalny 3 2 2 5 2 3 3" xfId="17725"/>
    <cellStyle name="Normalny 3 2 2 5 2 3 4" xfId="17726"/>
    <cellStyle name="Normalny 3 2 2 5 2 4" xfId="17727"/>
    <cellStyle name="Normalny 3 2 2 5 2 4 2" xfId="17728"/>
    <cellStyle name="Normalny 3 2 2 5 2 4 2 2" xfId="17729"/>
    <cellStyle name="Normalny 3 2 2 5 2 4 2 3" xfId="17730"/>
    <cellStyle name="Normalny 3 2 2 5 2 4 3" xfId="17731"/>
    <cellStyle name="Normalny 3 2 2 5 2 4 4" xfId="17732"/>
    <cellStyle name="Normalny 3 2 2 5 2 5" xfId="17733"/>
    <cellStyle name="Normalny 3 2 2 5 2 5 2" xfId="17734"/>
    <cellStyle name="Normalny 3 2 2 5 2 5 3" xfId="17735"/>
    <cellStyle name="Normalny 3 2 2 5 2 6" xfId="17736"/>
    <cellStyle name="Normalny 3 2 2 5 2 7" xfId="17737"/>
    <cellStyle name="Normalny 3 2 2 5 3" xfId="17738"/>
    <cellStyle name="Normalny 3 2 2 5 3 2" xfId="17739"/>
    <cellStyle name="Normalny 3 2 2 5 3 2 2" xfId="17740"/>
    <cellStyle name="Normalny 3 2 2 5 3 2 2 2" xfId="17741"/>
    <cellStyle name="Normalny 3 2 2 5 3 2 2 3" xfId="17742"/>
    <cellStyle name="Normalny 3 2 2 5 3 2 3" xfId="17743"/>
    <cellStyle name="Normalny 3 2 2 5 3 2 4" xfId="17744"/>
    <cellStyle name="Normalny 3 2 2 5 3 3" xfId="17745"/>
    <cellStyle name="Normalny 3 2 2 5 3 3 2" xfId="17746"/>
    <cellStyle name="Normalny 3 2 2 5 3 3 2 2" xfId="17747"/>
    <cellStyle name="Normalny 3 2 2 5 3 3 2 3" xfId="17748"/>
    <cellStyle name="Normalny 3 2 2 5 3 3 3" xfId="17749"/>
    <cellStyle name="Normalny 3 2 2 5 3 3 4" xfId="17750"/>
    <cellStyle name="Normalny 3 2 2 5 3 4" xfId="17751"/>
    <cellStyle name="Normalny 3 2 2 5 3 4 2" xfId="17752"/>
    <cellStyle name="Normalny 3 2 2 5 3 4 2 2" xfId="17753"/>
    <cellStyle name="Normalny 3 2 2 5 3 4 2 3" xfId="17754"/>
    <cellStyle name="Normalny 3 2 2 5 3 4 3" xfId="17755"/>
    <cellStyle name="Normalny 3 2 2 5 3 4 4" xfId="17756"/>
    <cellStyle name="Normalny 3 2 2 5 3 5" xfId="17757"/>
    <cellStyle name="Normalny 3 2 2 5 3 5 2" xfId="17758"/>
    <cellStyle name="Normalny 3 2 2 5 3 5 3" xfId="17759"/>
    <cellStyle name="Normalny 3 2 2 5 3 6" xfId="17760"/>
    <cellStyle name="Normalny 3 2 2 5 3 7" xfId="17761"/>
    <cellStyle name="Normalny 3 2 2 5 4" xfId="17762"/>
    <cellStyle name="Normalny 3 2 2 5 4 2" xfId="17763"/>
    <cellStyle name="Normalny 3 2 2 5 4 2 2" xfId="17764"/>
    <cellStyle name="Normalny 3 2 2 5 4 2 3" xfId="17765"/>
    <cellStyle name="Normalny 3 2 2 5 4 3" xfId="17766"/>
    <cellStyle name="Normalny 3 2 2 5 4 4" xfId="17767"/>
    <cellStyle name="Normalny 3 2 2 5 5" xfId="17768"/>
    <cellStyle name="Normalny 3 2 2 5 5 2" xfId="17769"/>
    <cellStyle name="Normalny 3 2 2 5 5 2 2" xfId="17770"/>
    <cellStyle name="Normalny 3 2 2 5 5 2 3" xfId="17771"/>
    <cellStyle name="Normalny 3 2 2 5 5 3" xfId="17772"/>
    <cellStyle name="Normalny 3 2 2 5 5 4" xfId="17773"/>
    <cellStyle name="Normalny 3 2 2 5 6" xfId="17774"/>
    <cellStyle name="Normalny 3 2 2 5 6 2" xfId="17775"/>
    <cellStyle name="Normalny 3 2 2 5 6 2 2" xfId="17776"/>
    <cellStyle name="Normalny 3 2 2 5 6 2 3" xfId="17777"/>
    <cellStyle name="Normalny 3 2 2 5 6 3" xfId="17778"/>
    <cellStyle name="Normalny 3 2 2 5 6 4" xfId="17779"/>
    <cellStyle name="Normalny 3 2 2 5 7" xfId="17780"/>
    <cellStyle name="Normalny 3 2 2 5 7 2" xfId="17781"/>
    <cellStyle name="Normalny 3 2 2 5 7 3" xfId="17782"/>
    <cellStyle name="Normalny 3 2 2 5 8" xfId="17783"/>
    <cellStyle name="Normalny 3 2 2 5 9" xfId="17784"/>
    <cellStyle name="Normalny 3 2 2 6" xfId="17785"/>
    <cellStyle name="Normalny 3 2 2 6 2" xfId="17786"/>
    <cellStyle name="Normalny 3 2 2 6 2 2" xfId="17787"/>
    <cellStyle name="Normalny 3 2 2 6 2 2 2" xfId="17788"/>
    <cellStyle name="Normalny 3 2 2 6 2 2 2 2" xfId="17789"/>
    <cellStyle name="Normalny 3 2 2 6 2 2 2 3" xfId="17790"/>
    <cellStyle name="Normalny 3 2 2 6 2 2 3" xfId="17791"/>
    <cellStyle name="Normalny 3 2 2 6 2 2 4" xfId="17792"/>
    <cellStyle name="Normalny 3 2 2 6 2 3" xfId="17793"/>
    <cellStyle name="Normalny 3 2 2 6 2 3 2" xfId="17794"/>
    <cellStyle name="Normalny 3 2 2 6 2 3 2 2" xfId="17795"/>
    <cellStyle name="Normalny 3 2 2 6 2 3 2 3" xfId="17796"/>
    <cellStyle name="Normalny 3 2 2 6 2 3 3" xfId="17797"/>
    <cellStyle name="Normalny 3 2 2 6 2 3 4" xfId="17798"/>
    <cellStyle name="Normalny 3 2 2 6 2 4" xfId="17799"/>
    <cellStyle name="Normalny 3 2 2 6 2 4 2" xfId="17800"/>
    <cellStyle name="Normalny 3 2 2 6 2 4 2 2" xfId="17801"/>
    <cellStyle name="Normalny 3 2 2 6 2 4 2 3" xfId="17802"/>
    <cellStyle name="Normalny 3 2 2 6 2 4 3" xfId="17803"/>
    <cellStyle name="Normalny 3 2 2 6 2 4 4" xfId="17804"/>
    <cellStyle name="Normalny 3 2 2 6 2 5" xfId="17805"/>
    <cellStyle name="Normalny 3 2 2 6 2 5 2" xfId="17806"/>
    <cellStyle name="Normalny 3 2 2 6 2 5 3" xfId="17807"/>
    <cellStyle name="Normalny 3 2 2 6 2 6" xfId="17808"/>
    <cellStyle name="Normalny 3 2 2 6 2 7" xfId="17809"/>
    <cellStyle name="Normalny 3 2 2 6 3" xfId="17810"/>
    <cellStyle name="Normalny 3 2 2 6 3 2" xfId="17811"/>
    <cellStyle name="Normalny 3 2 2 6 3 2 2" xfId="17812"/>
    <cellStyle name="Normalny 3 2 2 6 3 2 2 2" xfId="17813"/>
    <cellStyle name="Normalny 3 2 2 6 3 2 2 3" xfId="17814"/>
    <cellStyle name="Normalny 3 2 2 6 3 2 3" xfId="17815"/>
    <cellStyle name="Normalny 3 2 2 6 3 2 4" xfId="17816"/>
    <cellStyle name="Normalny 3 2 2 6 3 3" xfId="17817"/>
    <cellStyle name="Normalny 3 2 2 6 3 3 2" xfId="17818"/>
    <cellStyle name="Normalny 3 2 2 6 3 3 2 2" xfId="17819"/>
    <cellStyle name="Normalny 3 2 2 6 3 3 2 3" xfId="17820"/>
    <cellStyle name="Normalny 3 2 2 6 3 3 3" xfId="17821"/>
    <cellStyle name="Normalny 3 2 2 6 3 3 4" xfId="17822"/>
    <cellStyle name="Normalny 3 2 2 6 3 4" xfId="17823"/>
    <cellStyle name="Normalny 3 2 2 6 3 4 2" xfId="17824"/>
    <cellStyle name="Normalny 3 2 2 6 3 4 2 2" xfId="17825"/>
    <cellStyle name="Normalny 3 2 2 6 3 4 2 3" xfId="17826"/>
    <cellStyle name="Normalny 3 2 2 6 3 4 3" xfId="17827"/>
    <cellStyle name="Normalny 3 2 2 6 3 4 4" xfId="17828"/>
    <cellStyle name="Normalny 3 2 2 6 3 5" xfId="17829"/>
    <cellStyle name="Normalny 3 2 2 6 3 5 2" xfId="17830"/>
    <cellStyle name="Normalny 3 2 2 6 3 5 3" xfId="17831"/>
    <cellStyle name="Normalny 3 2 2 6 3 6" xfId="17832"/>
    <cellStyle name="Normalny 3 2 2 6 3 7" xfId="17833"/>
    <cellStyle name="Normalny 3 2 2 6 4" xfId="17834"/>
    <cellStyle name="Normalny 3 2 2 6 4 2" xfId="17835"/>
    <cellStyle name="Normalny 3 2 2 6 4 2 2" xfId="17836"/>
    <cellStyle name="Normalny 3 2 2 6 4 2 3" xfId="17837"/>
    <cellStyle name="Normalny 3 2 2 6 4 3" xfId="17838"/>
    <cellStyle name="Normalny 3 2 2 6 4 4" xfId="17839"/>
    <cellStyle name="Normalny 3 2 2 6 5" xfId="17840"/>
    <cellStyle name="Normalny 3 2 2 6 5 2" xfId="17841"/>
    <cellStyle name="Normalny 3 2 2 6 5 2 2" xfId="17842"/>
    <cellStyle name="Normalny 3 2 2 6 5 2 3" xfId="17843"/>
    <cellStyle name="Normalny 3 2 2 6 5 3" xfId="17844"/>
    <cellStyle name="Normalny 3 2 2 6 5 4" xfId="17845"/>
    <cellStyle name="Normalny 3 2 2 6 6" xfId="17846"/>
    <cellStyle name="Normalny 3 2 2 6 6 2" xfId="17847"/>
    <cellStyle name="Normalny 3 2 2 6 6 2 2" xfId="17848"/>
    <cellStyle name="Normalny 3 2 2 6 6 2 3" xfId="17849"/>
    <cellStyle name="Normalny 3 2 2 6 6 3" xfId="17850"/>
    <cellStyle name="Normalny 3 2 2 6 6 4" xfId="17851"/>
    <cellStyle name="Normalny 3 2 2 6 7" xfId="17852"/>
    <cellStyle name="Normalny 3 2 2 6 7 2" xfId="17853"/>
    <cellStyle name="Normalny 3 2 2 6 7 3" xfId="17854"/>
    <cellStyle name="Normalny 3 2 2 6 8" xfId="17855"/>
    <cellStyle name="Normalny 3 2 2 6 9" xfId="17856"/>
    <cellStyle name="Normalny 3 2 2 7" xfId="17857"/>
    <cellStyle name="Normalny 3 2 2 7 2" xfId="17858"/>
    <cellStyle name="Normalny 3 2 2 7 2 2" xfId="17859"/>
    <cellStyle name="Normalny 3 2 2 7 2 2 2" xfId="17860"/>
    <cellStyle name="Normalny 3 2 2 7 2 2 2 2" xfId="17861"/>
    <cellStyle name="Normalny 3 2 2 7 2 2 2 3" xfId="17862"/>
    <cellStyle name="Normalny 3 2 2 7 2 2 3" xfId="17863"/>
    <cellStyle name="Normalny 3 2 2 7 2 2 4" xfId="17864"/>
    <cellStyle name="Normalny 3 2 2 7 2 3" xfId="17865"/>
    <cellStyle name="Normalny 3 2 2 7 2 3 2" xfId="17866"/>
    <cellStyle name="Normalny 3 2 2 7 2 3 2 2" xfId="17867"/>
    <cellStyle name="Normalny 3 2 2 7 2 3 2 3" xfId="17868"/>
    <cellStyle name="Normalny 3 2 2 7 2 3 3" xfId="17869"/>
    <cellStyle name="Normalny 3 2 2 7 2 3 4" xfId="17870"/>
    <cellStyle name="Normalny 3 2 2 7 2 4" xfId="17871"/>
    <cellStyle name="Normalny 3 2 2 7 2 4 2" xfId="17872"/>
    <cellStyle name="Normalny 3 2 2 7 2 4 2 2" xfId="17873"/>
    <cellStyle name="Normalny 3 2 2 7 2 4 2 3" xfId="17874"/>
    <cellStyle name="Normalny 3 2 2 7 2 4 3" xfId="17875"/>
    <cellStyle name="Normalny 3 2 2 7 2 4 4" xfId="17876"/>
    <cellStyle name="Normalny 3 2 2 7 2 5" xfId="17877"/>
    <cellStyle name="Normalny 3 2 2 7 2 5 2" xfId="17878"/>
    <cellStyle name="Normalny 3 2 2 7 2 5 3" xfId="17879"/>
    <cellStyle name="Normalny 3 2 2 7 2 6" xfId="17880"/>
    <cellStyle name="Normalny 3 2 2 7 2 7" xfId="17881"/>
    <cellStyle name="Normalny 3 2 2 7 3" xfId="17882"/>
    <cellStyle name="Normalny 3 2 2 7 3 2" xfId="17883"/>
    <cellStyle name="Normalny 3 2 2 7 3 2 2" xfId="17884"/>
    <cellStyle name="Normalny 3 2 2 7 3 2 3" xfId="17885"/>
    <cellStyle name="Normalny 3 2 2 7 3 3" xfId="17886"/>
    <cellStyle name="Normalny 3 2 2 7 3 4" xfId="17887"/>
    <cellStyle name="Normalny 3 2 2 7 4" xfId="17888"/>
    <cellStyle name="Normalny 3 2 2 7 4 2" xfId="17889"/>
    <cellStyle name="Normalny 3 2 2 7 4 2 2" xfId="17890"/>
    <cellStyle name="Normalny 3 2 2 7 4 2 3" xfId="17891"/>
    <cellStyle name="Normalny 3 2 2 7 4 3" xfId="17892"/>
    <cellStyle name="Normalny 3 2 2 7 4 4" xfId="17893"/>
    <cellStyle name="Normalny 3 2 2 7 5" xfId="17894"/>
    <cellStyle name="Normalny 3 2 2 7 5 2" xfId="17895"/>
    <cellStyle name="Normalny 3 2 2 7 5 2 2" xfId="17896"/>
    <cellStyle name="Normalny 3 2 2 7 5 2 3" xfId="17897"/>
    <cellStyle name="Normalny 3 2 2 7 5 3" xfId="17898"/>
    <cellStyle name="Normalny 3 2 2 7 5 4" xfId="17899"/>
    <cellStyle name="Normalny 3 2 2 7 6" xfId="17900"/>
    <cellStyle name="Normalny 3 2 2 7 6 2" xfId="17901"/>
    <cellStyle name="Normalny 3 2 2 7 6 3" xfId="17902"/>
    <cellStyle name="Normalny 3 2 2 7 7" xfId="17903"/>
    <cellStyle name="Normalny 3 2 2 7 8" xfId="17904"/>
    <cellStyle name="Normalny 3 2 2 8" xfId="17905"/>
    <cellStyle name="Normalny 3 2 2 8 2" xfId="17906"/>
    <cellStyle name="Normalny 3 2 2 8 2 2" xfId="17907"/>
    <cellStyle name="Normalny 3 2 2 8 2 2 2" xfId="17908"/>
    <cellStyle name="Normalny 3 2 2 8 2 2 2 2" xfId="17909"/>
    <cellStyle name="Normalny 3 2 2 8 2 2 2 3" xfId="17910"/>
    <cellStyle name="Normalny 3 2 2 8 2 2 3" xfId="17911"/>
    <cellStyle name="Normalny 3 2 2 8 2 2 4" xfId="17912"/>
    <cellStyle name="Normalny 3 2 2 8 2 3" xfId="17913"/>
    <cellStyle name="Normalny 3 2 2 8 2 3 2" xfId="17914"/>
    <cellStyle name="Normalny 3 2 2 8 2 3 2 2" xfId="17915"/>
    <cellStyle name="Normalny 3 2 2 8 2 3 2 3" xfId="17916"/>
    <cellStyle name="Normalny 3 2 2 8 2 3 3" xfId="17917"/>
    <cellStyle name="Normalny 3 2 2 8 2 3 4" xfId="17918"/>
    <cellStyle name="Normalny 3 2 2 8 2 4" xfId="17919"/>
    <cellStyle name="Normalny 3 2 2 8 2 4 2" xfId="17920"/>
    <cellStyle name="Normalny 3 2 2 8 2 4 2 2" xfId="17921"/>
    <cellStyle name="Normalny 3 2 2 8 2 4 2 3" xfId="17922"/>
    <cellStyle name="Normalny 3 2 2 8 2 4 3" xfId="17923"/>
    <cellStyle name="Normalny 3 2 2 8 2 4 4" xfId="17924"/>
    <cellStyle name="Normalny 3 2 2 8 2 5" xfId="17925"/>
    <cellStyle name="Normalny 3 2 2 8 2 5 2" xfId="17926"/>
    <cellStyle name="Normalny 3 2 2 8 2 5 3" xfId="17927"/>
    <cellStyle name="Normalny 3 2 2 8 2 6" xfId="17928"/>
    <cellStyle name="Normalny 3 2 2 8 2 7" xfId="17929"/>
    <cellStyle name="Normalny 3 2 2 8 3" xfId="17930"/>
    <cellStyle name="Normalny 3 2 2 8 3 2" xfId="17931"/>
    <cellStyle name="Normalny 3 2 2 8 3 2 2" xfId="17932"/>
    <cellStyle name="Normalny 3 2 2 8 3 2 3" xfId="17933"/>
    <cellStyle name="Normalny 3 2 2 8 3 3" xfId="17934"/>
    <cellStyle name="Normalny 3 2 2 8 3 4" xfId="17935"/>
    <cellStyle name="Normalny 3 2 2 8 4" xfId="17936"/>
    <cellStyle name="Normalny 3 2 2 8 4 2" xfId="17937"/>
    <cellStyle name="Normalny 3 2 2 8 4 2 2" xfId="17938"/>
    <cellStyle name="Normalny 3 2 2 8 4 2 3" xfId="17939"/>
    <cellStyle name="Normalny 3 2 2 8 4 3" xfId="17940"/>
    <cellStyle name="Normalny 3 2 2 8 4 4" xfId="17941"/>
    <cellStyle name="Normalny 3 2 2 8 5" xfId="17942"/>
    <cellStyle name="Normalny 3 2 2 8 5 2" xfId="17943"/>
    <cellStyle name="Normalny 3 2 2 8 5 2 2" xfId="17944"/>
    <cellStyle name="Normalny 3 2 2 8 5 2 3" xfId="17945"/>
    <cellStyle name="Normalny 3 2 2 8 5 3" xfId="17946"/>
    <cellStyle name="Normalny 3 2 2 8 5 4" xfId="17947"/>
    <cellStyle name="Normalny 3 2 2 8 6" xfId="17948"/>
    <cellStyle name="Normalny 3 2 2 8 6 2" xfId="17949"/>
    <cellStyle name="Normalny 3 2 2 8 6 3" xfId="17950"/>
    <cellStyle name="Normalny 3 2 2 8 7" xfId="17951"/>
    <cellStyle name="Normalny 3 2 2 8 8" xfId="17952"/>
    <cellStyle name="Normalny 3 2 2 9" xfId="17953"/>
    <cellStyle name="Normalny 3 2 2 9 2" xfId="17954"/>
    <cellStyle name="Normalny 3 2 2 9 2 2" xfId="17955"/>
    <cellStyle name="Normalny 3 2 2 9 2 2 2" xfId="17956"/>
    <cellStyle name="Normalny 3 2 2 9 2 2 3" xfId="17957"/>
    <cellStyle name="Normalny 3 2 2 9 2 3" xfId="17958"/>
    <cellStyle name="Normalny 3 2 2 9 2 4" xfId="17959"/>
    <cellStyle name="Normalny 3 2 2 9 3" xfId="17960"/>
    <cellStyle name="Normalny 3 2 2 9 3 2" xfId="17961"/>
    <cellStyle name="Normalny 3 2 2 9 3 2 2" xfId="17962"/>
    <cellStyle name="Normalny 3 2 2 9 3 2 3" xfId="17963"/>
    <cellStyle name="Normalny 3 2 2 9 3 3" xfId="17964"/>
    <cellStyle name="Normalny 3 2 2 9 3 4" xfId="17965"/>
    <cellStyle name="Normalny 3 2 2 9 4" xfId="17966"/>
    <cellStyle name="Normalny 3 2 2 9 4 2" xfId="17967"/>
    <cellStyle name="Normalny 3 2 2 9 4 2 2" xfId="17968"/>
    <cellStyle name="Normalny 3 2 2 9 4 2 3" xfId="17969"/>
    <cellStyle name="Normalny 3 2 2 9 4 3" xfId="17970"/>
    <cellStyle name="Normalny 3 2 2 9 4 4" xfId="17971"/>
    <cellStyle name="Normalny 3 2 2 9 5" xfId="17972"/>
    <cellStyle name="Normalny 3 2 2 9 5 2" xfId="17973"/>
    <cellStyle name="Normalny 3 2 2 9 5 3" xfId="17974"/>
    <cellStyle name="Normalny 3 2 2 9 6" xfId="17975"/>
    <cellStyle name="Normalny 3 2 2 9 7" xfId="17976"/>
    <cellStyle name="Normalny 3 2 20" xfId="17977"/>
    <cellStyle name="Normalny 3 2 21" xfId="17978"/>
    <cellStyle name="Normalny 3 2 22" xfId="17979"/>
    <cellStyle name="Normalny 3 2 23" xfId="17980"/>
    <cellStyle name="Normalny 3 2 24" xfId="16910"/>
    <cellStyle name="Normalny 3 2 3" xfId="17981"/>
    <cellStyle name="Normalny 3 2 4" xfId="17982"/>
    <cellStyle name="Normalny 3 2 4 10" xfId="17983"/>
    <cellStyle name="Normalny 3 2 4 10 2" xfId="17984"/>
    <cellStyle name="Normalny 3 2 4 10 2 2" xfId="17985"/>
    <cellStyle name="Normalny 3 2 4 10 2 3" xfId="17986"/>
    <cellStyle name="Normalny 3 2 4 10 3" xfId="17987"/>
    <cellStyle name="Normalny 3 2 4 10 4" xfId="17988"/>
    <cellStyle name="Normalny 3 2 4 11" xfId="17989"/>
    <cellStyle name="Normalny 3 2 4 11 2" xfId="17990"/>
    <cellStyle name="Normalny 3 2 4 11 3" xfId="17991"/>
    <cellStyle name="Normalny 3 2 4 12" xfId="17992"/>
    <cellStyle name="Normalny 3 2 4 12 2" xfId="17993"/>
    <cellStyle name="Normalny 3 2 4 12 3" xfId="17994"/>
    <cellStyle name="Normalny 3 2 4 13" xfId="17995"/>
    <cellStyle name="Normalny 3 2 4 14" xfId="17996"/>
    <cellStyle name="Normalny 3 2 4 15" xfId="17997"/>
    <cellStyle name="Normalny 3 2 4 2" xfId="17998"/>
    <cellStyle name="Normalny 3 2 4 2 10" xfId="17999"/>
    <cellStyle name="Normalny 3 2 4 2 11" xfId="18000"/>
    <cellStyle name="Normalny 3 2 4 2 2" xfId="18001"/>
    <cellStyle name="Normalny 3 2 4 2 2 2" xfId="18002"/>
    <cellStyle name="Normalny 3 2 4 2 2 2 2" xfId="18003"/>
    <cellStyle name="Normalny 3 2 4 2 2 2 2 2" xfId="18004"/>
    <cellStyle name="Normalny 3 2 4 2 2 2 2 2 2" xfId="18005"/>
    <cellStyle name="Normalny 3 2 4 2 2 2 2 2 3" xfId="18006"/>
    <cellStyle name="Normalny 3 2 4 2 2 2 2 3" xfId="18007"/>
    <cellStyle name="Normalny 3 2 4 2 2 2 2 4" xfId="18008"/>
    <cellStyle name="Normalny 3 2 4 2 2 2 3" xfId="18009"/>
    <cellStyle name="Normalny 3 2 4 2 2 2 3 2" xfId="18010"/>
    <cellStyle name="Normalny 3 2 4 2 2 2 3 2 2" xfId="18011"/>
    <cellStyle name="Normalny 3 2 4 2 2 2 3 2 3" xfId="18012"/>
    <cellStyle name="Normalny 3 2 4 2 2 2 3 3" xfId="18013"/>
    <cellStyle name="Normalny 3 2 4 2 2 2 3 4" xfId="18014"/>
    <cellStyle name="Normalny 3 2 4 2 2 2 4" xfId="18015"/>
    <cellStyle name="Normalny 3 2 4 2 2 2 4 2" xfId="18016"/>
    <cellStyle name="Normalny 3 2 4 2 2 2 4 2 2" xfId="18017"/>
    <cellStyle name="Normalny 3 2 4 2 2 2 4 2 3" xfId="18018"/>
    <cellStyle name="Normalny 3 2 4 2 2 2 4 3" xfId="18019"/>
    <cellStyle name="Normalny 3 2 4 2 2 2 4 4" xfId="18020"/>
    <cellStyle name="Normalny 3 2 4 2 2 2 5" xfId="18021"/>
    <cellStyle name="Normalny 3 2 4 2 2 2 5 2" xfId="18022"/>
    <cellStyle name="Normalny 3 2 4 2 2 2 5 3" xfId="18023"/>
    <cellStyle name="Normalny 3 2 4 2 2 2 6" xfId="18024"/>
    <cellStyle name="Normalny 3 2 4 2 2 2 7" xfId="18025"/>
    <cellStyle name="Normalny 3 2 4 2 2 3" xfId="18026"/>
    <cellStyle name="Normalny 3 2 4 2 2 3 2" xfId="18027"/>
    <cellStyle name="Normalny 3 2 4 2 2 3 2 2" xfId="18028"/>
    <cellStyle name="Normalny 3 2 4 2 2 3 2 2 2" xfId="18029"/>
    <cellStyle name="Normalny 3 2 4 2 2 3 2 2 3" xfId="18030"/>
    <cellStyle name="Normalny 3 2 4 2 2 3 2 3" xfId="18031"/>
    <cellStyle name="Normalny 3 2 4 2 2 3 2 4" xfId="18032"/>
    <cellStyle name="Normalny 3 2 4 2 2 3 3" xfId="18033"/>
    <cellStyle name="Normalny 3 2 4 2 2 3 3 2" xfId="18034"/>
    <cellStyle name="Normalny 3 2 4 2 2 3 3 2 2" xfId="18035"/>
    <cellStyle name="Normalny 3 2 4 2 2 3 3 2 3" xfId="18036"/>
    <cellStyle name="Normalny 3 2 4 2 2 3 3 3" xfId="18037"/>
    <cellStyle name="Normalny 3 2 4 2 2 3 3 4" xfId="18038"/>
    <cellStyle name="Normalny 3 2 4 2 2 3 4" xfId="18039"/>
    <cellStyle name="Normalny 3 2 4 2 2 3 4 2" xfId="18040"/>
    <cellStyle name="Normalny 3 2 4 2 2 3 4 2 2" xfId="18041"/>
    <cellStyle name="Normalny 3 2 4 2 2 3 4 2 3" xfId="18042"/>
    <cellStyle name="Normalny 3 2 4 2 2 3 4 3" xfId="18043"/>
    <cellStyle name="Normalny 3 2 4 2 2 3 4 4" xfId="18044"/>
    <cellStyle name="Normalny 3 2 4 2 2 3 5" xfId="18045"/>
    <cellStyle name="Normalny 3 2 4 2 2 3 5 2" xfId="18046"/>
    <cellStyle name="Normalny 3 2 4 2 2 3 5 3" xfId="18047"/>
    <cellStyle name="Normalny 3 2 4 2 2 3 6" xfId="18048"/>
    <cellStyle name="Normalny 3 2 4 2 2 3 7" xfId="18049"/>
    <cellStyle name="Normalny 3 2 4 2 2 4" xfId="18050"/>
    <cellStyle name="Normalny 3 2 4 2 2 4 2" xfId="18051"/>
    <cellStyle name="Normalny 3 2 4 2 2 4 2 2" xfId="18052"/>
    <cellStyle name="Normalny 3 2 4 2 2 4 2 3" xfId="18053"/>
    <cellStyle name="Normalny 3 2 4 2 2 4 3" xfId="18054"/>
    <cellStyle name="Normalny 3 2 4 2 2 4 4" xfId="18055"/>
    <cellStyle name="Normalny 3 2 4 2 2 5" xfId="18056"/>
    <cellStyle name="Normalny 3 2 4 2 2 5 2" xfId="18057"/>
    <cellStyle name="Normalny 3 2 4 2 2 5 2 2" xfId="18058"/>
    <cellStyle name="Normalny 3 2 4 2 2 5 2 3" xfId="18059"/>
    <cellStyle name="Normalny 3 2 4 2 2 5 3" xfId="18060"/>
    <cellStyle name="Normalny 3 2 4 2 2 5 4" xfId="18061"/>
    <cellStyle name="Normalny 3 2 4 2 2 6" xfId="18062"/>
    <cellStyle name="Normalny 3 2 4 2 2 6 2" xfId="18063"/>
    <cellStyle name="Normalny 3 2 4 2 2 6 2 2" xfId="18064"/>
    <cellStyle name="Normalny 3 2 4 2 2 6 2 3" xfId="18065"/>
    <cellStyle name="Normalny 3 2 4 2 2 6 3" xfId="18066"/>
    <cellStyle name="Normalny 3 2 4 2 2 6 4" xfId="18067"/>
    <cellStyle name="Normalny 3 2 4 2 2 7" xfId="18068"/>
    <cellStyle name="Normalny 3 2 4 2 2 7 2" xfId="18069"/>
    <cellStyle name="Normalny 3 2 4 2 2 7 3" xfId="18070"/>
    <cellStyle name="Normalny 3 2 4 2 2 8" xfId="18071"/>
    <cellStyle name="Normalny 3 2 4 2 2 9" xfId="18072"/>
    <cellStyle name="Normalny 3 2 4 2 3" xfId="18073"/>
    <cellStyle name="Normalny 3 2 4 2 3 2" xfId="18074"/>
    <cellStyle name="Normalny 3 2 4 2 3 2 2" xfId="18075"/>
    <cellStyle name="Normalny 3 2 4 2 3 2 2 2" xfId="18076"/>
    <cellStyle name="Normalny 3 2 4 2 3 2 2 3" xfId="18077"/>
    <cellStyle name="Normalny 3 2 4 2 3 2 3" xfId="18078"/>
    <cellStyle name="Normalny 3 2 4 2 3 2 4" xfId="18079"/>
    <cellStyle name="Normalny 3 2 4 2 3 3" xfId="18080"/>
    <cellStyle name="Normalny 3 2 4 2 3 3 2" xfId="18081"/>
    <cellStyle name="Normalny 3 2 4 2 3 3 2 2" xfId="18082"/>
    <cellStyle name="Normalny 3 2 4 2 3 3 2 3" xfId="18083"/>
    <cellStyle name="Normalny 3 2 4 2 3 3 3" xfId="18084"/>
    <cellStyle name="Normalny 3 2 4 2 3 3 4" xfId="18085"/>
    <cellStyle name="Normalny 3 2 4 2 3 4" xfId="18086"/>
    <cellStyle name="Normalny 3 2 4 2 3 4 2" xfId="18087"/>
    <cellStyle name="Normalny 3 2 4 2 3 4 2 2" xfId="18088"/>
    <cellStyle name="Normalny 3 2 4 2 3 4 2 3" xfId="18089"/>
    <cellStyle name="Normalny 3 2 4 2 3 4 3" xfId="18090"/>
    <cellStyle name="Normalny 3 2 4 2 3 4 4" xfId="18091"/>
    <cellStyle name="Normalny 3 2 4 2 3 5" xfId="18092"/>
    <cellStyle name="Normalny 3 2 4 2 3 5 2" xfId="18093"/>
    <cellStyle name="Normalny 3 2 4 2 3 5 3" xfId="18094"/>
    <cellStyle name="Normalny 3 2 4 2 3 6" xfId="18095"/>
    <cellStyle name="Normalny 3 2 4 2 3 7" xfId="18096"/>
    <cellStyle name="Normalny 3 2 4 2 4" xfId="18097"/>
    <cellStyle name="Normalny 3 2 4 2 4 2" xfId="18098"/>
    <cellStyle name="Normalny 3 2 4 2 4 2 2" xfId="18099"/>
    <cellStyle name="Normalny 3 2 4 2 4 2 2 2" xfId="18100"/>
    <cellStyle name="Normalny 3 2 4 2 4 2 2 3" xfId="18101"/>
    <cellStyle name="Normalny 3 2 4 2 4 2 3" xfId="18102"/>
    <cellStyle name="Normalny 3 2 4 2 4 2 4" xfId="18103"/>
    <cellStyle name="Normalny 3 2 4 2 4 3" xfId="18104"/>
    <cellStyle name="Normalny 3 2 4 2 4 3 2" xfId="18105"/>
    <cellStyle name="Normalny 3 2 4 2 4 3 2 2" xfId="18106"/>
    <cellStyle name="Normalny 3 2 4 2 4 3 2 3" xfId="18107"/>
    <cellStyle name="Normalny 3 2 4 2 4 3 3" xfId="18108"/>
    <cellStyle name="Normalny 3 2 4 2 4 3 4" xfId="18109"/>
    <cellStyle name="Normalny 3 2 4 2 4 4" xfId="18110"/>
    <cellStyle name="Normalny 3 2 4 2 4 4 2" xfId="18111"/>
    <cellStyle name="Normalny 3 2 4 2 4 4 2 2" xfId="18112"/>
    <cellStyle name="Normalny 3 2 4 2 4 4 2 3" xfId="18113"/>
    <cellStyle name="Normalny 3 2 4 2 4 4 3" xfId="18114"/>
    <cellStyle name="Normalny 3 2 4 2 4 4 4" xfId="18115"/>
    <cellStyle name="Normalny 3 2 4 2 4 5" xfId="18116"/>
    <cellStyle name="Normalny 3 2 4 2 4 5 2" xfId="18117"/>
    <cellStyle name="Normalny 3 2 4 2 4 5 3" xfId="18118"/>
    <cellStyle name="Normalny 3 2 4 2 4 6" xfId="18119"/>
    <cellStyle name="Normalny 3 2 4 2 4 7" xfId="18120"/>
    <cellStyle name="Normalny 3 2 4 2 5" xfId="18121"/>
    <cellStyle name="Normalny 3 2 4 2 5 2" xfId="18122"/>
    <cellStyle name="Normalny 3 2 4 2 5 2 2" xfId="18123"/>
    <cellStyle name="Normalny 3 2 4 2 5 2 2 2" xfId="18124"/>
    <cellStyle name="Normalny 3 2 4 2 5 2 2 3" xfId="18125"/>
    <cellStyle name="Normalny 3 2 4 2 5 2 3" xfId="18126"/>
    <cellStyle name="Normalny 3 2 4 2 5 2 4" xfId="18127"/>
    <cellStyle name="Normalny 3 2 4 2 5 3" xfId="18128"/>
    <cellStyle name="Normalny 3 2 4 2 5 3 2" xfId="18129"/>
    <cellStyle name="Normalny 3 2 4 2 5 3 3" xfId="18130"/>
    <cellStyle name="Normalny 3 2 4 2 5 4" xfId="18131"/>
    <cellStyle name="Normalny 3 2 4 2 5 5" xfId="18132"/>
    <cellStyle name="Normalny 3 2 4 2 6" xfId="18133"/>
    <cellStyle name="Normalny 3 2 4 2 6 2" xfId="18134"/>
    <cellStyle name="Normalny 3 2 4 2 6 2 2" xfId="18135"/>
    <cellStyle name="Normalny 3 2 4 2 6 2 3" xfId="18136"/>
    <cellStyle name="Normalny 3 2 4 2 6 3" xfId="18137"/>
    <cellStyle name="Normalny 3 2 4 2 6 4" xfId="18138"/>
    <cellStyle name="Normalny 3 2 4 2 7" xfId="18139"/>
    <cellStyle name="Normalny 3 2 4 2 7 2" xfId="18140"/>
    <cellStyle name="Normalny 3 2 4 2 7 2 2" xfId="18141"/>
    <cellStyle name="Normalny 3 2 4 2 7 2 3" xfId="18142"/>
    <cellStyle name="Normalny 3 2 4 2 7 3" xfId="18143"/>
    <cellStyle name="Normalny 3 2 4 2 7 4" xfId="18144"/>
    <cellStyle name="Normalny 3 2 4 2 8" xfId="18145"/>
    <cellStyle name="Normalny 3 2 4 2 8 2" xfId="18146"/>
    <cellStyle name="Normalny 3 2 4 2 8 2 2" xfId="18147"/>
    <cellStyle name="Normalny 3 2 4 2 8 2 3" xfId="18148"/>
    <cellStyle name="Normalny 3 2 4 2 8 3" xfId="18149"/>
    <cellStyle name="Normalny 3 2 4 2 8 4" xfId="18150"/>
    <cellStyle name="Normalny 3 2 4 2 9" xfId="18151"/>
    <cellStyle name="Normalny 3 2 4 2 9 2" xfId="18152"/>
    <cellStyle name="Normalny 3 2 4 2 9 3" xfId="18153"/>
    <cellStyle name="Normalny 3 2 4 3" xfId="18154"/>
    <cellStyle name="Normalny 3 2 4 3 10" xfId="18155"/>
    <cellStyle name="Normalny 3 2 4 3 2" xfId="18156"/>
    <cellStyle name="Normalny 3 2 4 3 2 2" xfId="18157"/>
    <cellStyle name="Normalny 3 2 4 3 2 2 2" xfId="18158"/>
    <cellStyle name="Normalny 3 2 4 3 2 2 2 2" xfId="18159"/>
    <cellStyle name="Normalny 3 2 4 3 2 2 2 3" xfId="18160"/>
    <cellStyle name="Normalny 3 2 4 3 2 2 3" xfId="18161"/>
    <cellStyle name="Normalny 3 2 4 3 2 2 4" xfId="18162"/>
    <cellStyle name="Normalny 3 2 4 3 2 3" xfId="18163"/>
    <cellStyle name="Normalny 3 2 4 3 2 3 2" xfId="18164"/>
    <cellStyle name="Normalny 3 2 4 3 2 3 2 2" xfId="18165"/>
    <cellStyle name="Normalny 3 2 4 3 2 3 2 3" xfId="18166"/>
    <cellStyle name="Normalny 3 2 4 3 2 3 3" xfId="18167"/>
    <cellStyle name="Normalny 3 2 4 3 2 3 4" xfId="18168"/>
    <cellStyle name="Normalny 3 2 4 3 2 4" xfId="18169"/>
    <cellStyle name="Normalny 3 2 4 3 2 4 2" xfId="18170"/>
    <cellStyle name="Normalny 3 2 4 3 2 4 2 2" xfId="18171"/>
    <cellStyle name="Normalny 3 2 4 3 2 4 2 3" xfId="18172"/>
    <cellStyle name="Normalny 3 2 4 3 2 4 3" xfId="18173"/>
    <cellStyle name="Normalny 3 2 4 3 2 4 4" xfId="18174"/>
    <cellStyle name="Normalny 3 2 4 3 2 5" xfId="18175"/>
    <cellStyle name="Normalny 3 2 4 3 2 5 2" xfId="18176"/>
    <cellStyle name="Normalny 3 2 4 3 2 5 3" xfId="18177"/>
    <cellStyle name="Normalny 3 2 4 3 2 6" xfId="18178"/>
    <cellStyle name="Normalny 3 2 4 3 2 7" xfId="18179"/>
    <cellStyle name="Normalny 3 2 4 3 3" xfId="18180"/>
    <cellStyle name="Normalny 3 2 4 3 3 2" xfId="18181"/>
    <cellStyle name="Normalny 3 2 4 3 3 2 2" xfId="18182"/>
    <cellStyle name="Normalny 3 2 4 3 3 2 2 2" xfId="18183"/>
    <cellStyle name="Normalny 3 2 4 3 3 2 2 3" xfId="18184"/>
    <cellStyle name="Normalny 3 2 4 3 3 2 3" xfId="18185"/>
    <cellStyle name="Normalny 3 2 4 3 3 2 4" xfId="18186"/>
    <cellStyle name="Normalny 3 2 4 3 3 3" xfId="18187"/>
    <cellStyle name="Normalny 3 2 4 3 3 3 2" xfId="18188"/>
    <cellStyle name="Normalny 3 2 4 3 3 3 2 2" xfId="18189"/>
    <cellStyle name="Normalny 3 2 4 3 3 3 2 3" xfId="18190"/>
    <cellStyle name="Normalny 3 2 4 3 3 3 3" xfId="18191"/>
    <cellStyle name="Normalny 3 2 4 3 3 3 4" xfId="18192"/>
    <cellStyle name="Normalny 3 2 4 3 3 4" xfId="18193"/>
    <cellStyle name="Normalny 3 2 4 3 3 4 2" xfId="18194"/>
    <cellStyle name="Normalny 3 2 4 3 3 4 2 2" xfId="18195"/>
    <cellStyle name="Normalny 3 2 4 3 3 4 2 3" xfId="18196"/>
    <cellStyle name="Normalny 3 2 4 3 3 4 3" xfId="18197"/>
    <cellStyle name="Normalny 3 2 4 3 3 4 4" xfId="18198"/>
    <cellStyle name="Normalny 3 2 4 3 3 5" xfId="18199"/>
    <cellStyle name="Normalny 3 2 4 3 3 5 2" xfId="18200"/>
    <cellStyle name="Normalny 3 2 4 3 3 5 3" xfId="18201"/>
    <cellStyle name="Normalny 3 2 4 3 3 6" xfId="18202"/>
    <cellStyle name="Normalny 3 2 4 3 3 7" xfId="18203"/>
    <cellStyle name="Normalny 3 2 4 3 4" xfId="18204"/>
    <cellStyle name="Normalny 3 2 4 3 4 2" xfId="18205"/>
    <cellStyle name="Normalny 3 2 4 3 4 2 2" xfId="18206"/>
    <cellStyle name="Normalny 3 2 4 3 4 2 2 2" xfId="18207"/>
    <cellStyle name="Normalny 3 2 4 3 4 2 2 3" xfId="18208"/>
    <cellStyle name="Normalny 3 2 4 3 4 2 3" xfId="18209"/>
    <cellStyle name="Normalny 3 2 4 3 4 2 4" xfId="18210"/>
    <cellStyle name="Normalny 3 2 4 3 4 3" xfId="18211"/>
    <cellStyle name="Normalny 3 2 4 3 4 3 2" xfId="18212"/>
    <cellStyle name="Normalny 3 2 4 3 4 3 3" xfId="18213"/>
    <cellStyle name="Normalny 3 2 4 3 4 4" xfId="18214"/>
    <cellStyle name="Normalny 3 2 4 3 4 5" xfId="18215"/>
    <cellStyle name="Normalny 3 2 4 3 5" xfId="18216"/>
    <cellStyle name="Normalny 3 2 4 3 5 2" xfId="18217"/>
    <cellStyle name="Normalny 3 2 4 3 5 2 2" xfId="18218"/>
    <cellStyle name="Normalny 3 2 4 3 5 2 3" xfId="18219"/>
    <cellStyle name="Normalny 3 2 4 3 5 3" xfId="18220"/>
    <cellStyle name="Normalny 3 2 4 3 5 4" xfId="18221"/>
    <cellStyle name="Normalny 3 2 4 3 6" xfId="18222"/>
    <cellStyle name="Normalny 3 2 4 3 6 2" xfId="18223"/>
    <cellStyle name="Normalny 3 2 4 3 6 2 2" xfId="18224"/>
    <cellStyle name="Normalny 3 2 4 3 6 2 3" xfId="18225"/>
    <cellStyle name="Normalny 3 2 4 3 6 3" xfId="18226"/>
    <cellStyle name="Normalny 3 2 4 3 6 4" xfId="18227"/>
    <cellStyle name="Normalny 3 2 4 3 7" xfId="18228"/>
    <cellStyle name="Normalny 3 2 4 3 7 2" xfId="18229"/>
    <cellStyle name="Normalny 3 2 4 3 7 2 2" xfId="18230"/>
    <cellStyle name="Normalny 3 2 4 3 7 2 3" xfId="18231"/>
    <cellStyle name="Normalny 3 2 4 3 7 3" xfId="18232"/>
    <cellStyle name="Normalny 3 2 4 3 7 4" xfId="18233"/>
    <cellStyle name="Normalny 3 2 4 3 8" xfId="18234"/>
    <cellStyle name="Normalny 3 2 4 3 8 2" xfId="18235"/>
    <cellStyle name="Normalny 3 2 4 3 8 3" xfId="18236"/>
    <cellStyle name="Normalny 3 2 4 3 9" xfId="18237"/>
    <cellStyle name="Normalny 3 2 4 4" xfId="18238"/>
    <cellStyle name="Normalny 3 2 4 4 2" xfId="18239"/>
    <cellStyle name="Normalny 3 2 4 4 2 2" xfId="18240"/>
    <cellStyle name="Normalny 3 2 4 4 2 2 2" xfId="18241"/>
    <cellStyle name="Normalny 3 2 4 4 2 2 2 2" xfId="18242"/>
    <cellStyle name="Normalny 3 2 4 4 2 2 2 3" xfId="18243"/>
    <cellStyle name="Normalny 3 2 4 4 2 2 3" xfId="18244"/>
    <cellStyle name="Normalny 3 2 4 4 2 2 4" xfId="18245"/>
    <cellStyle name="Normalny 3 2 4 4 2 3" xfId="18246"/>
    <cellStyle name="Normalny 3 2 4 4 2 3 2" xfId="18247"/>
    <cellStyle name="Normalny 3 2 4 4 2 3 2 2" xfId="18248"/>
    <cellStyle name="Normalny 3 2 4 4 2 3 2 3" xfId="18249"/>
    <cellStyle name="Normalny 3 2 4 4 2 3 3" xfId="18250"/>
    <cellStyle name="Normalny 3 2 4 4 2 3 4" xfId="18251"/>
    <cellStyle name="Normalny 3 2 4 4 2 4" xfId="18252"/>
    <cellStyle name="Normalny 3 2 4 4 2 4 2" xfId="18253"/>
    <cellStyle name="Normalny 3 2 4 4 2 4 2 2" xfId="18254"/>
    <cellStyle name="Normalny 3 2 4 4 2 4 2 3" xfId="18255"/>
    <cellStyle name="Normalny 3 2 4 4 2 4 3" xfId="18256"/>
    <cellStyle name="Normalny 3 2 4 4 2 4 4" xfId="18257"/>
    <cellStyle name="Normalny 3 2 4 4 2 5" xfId="18258"/>
    <cellStyle name="Normalny 3 2 4 4 2 5 2" xfId="18259"/>
    <cellStyle name="Normalny 3 2 4 4 2 5 3" xfId="18260"/>
    <cellStyle name="Normalny 3 2 4 4 2 6" xfId="18261"/>
    <cellStyle name="Normalny 3 2 4 4 2 7" xfId="18262"/>
    <cellStyle name="Normalny 3 2 4 4 3" xfId="18263"/>
    <cellStyle name="Normalny 3 2 4 4 3 2" xfId="18264"/>
    <cellStyle name="Normalny 3 2 4 4 3 2 2" xfId="18265"/>
    <cellStyle name="Normalny 3 2 4 4 3 2 2 2" xfId="18266"/>
    <cellStyle name="Normalny 3 2 4 4 3 2 2 3" xfId="18267"/>
    <cellStyle name="Normalny 3 2 4 4 3 2 3" xfId="18268"/>
    <cellStyle name="Normalny 3 2 4 4 3 2 4" xfId="18269"/>
    <cellStyle name="Normalny 3 2 4 4 3 3" xfId="18270"/>
    <cellStyle name="Normalny 3 2 4 4 3 3 2" xfId="18271"/>
    <cellStyle name="Normalny 3 2 4 4 3 3 2 2" xfId="18272"/>
    <cellStyle name="Normalny 3 2 4 4 3 3 2 3" xfId="18273"/>
    <cellStyle name="Normalny 3 2 4 4 3 3 3" xfId="18274"/>
    <cellStyle name="Normalny 3 2 4 4 3 3 4" xfId="18275"/>
    <cellStyle name="Normalny 3 2 4 4 3 4" xfId="18276"/>
    <cellStyle name="Normalny 3 2 4 4 3 4 2" xfId="18277"/>
    <cellStyle name="Normalny 3 2 4 4 3 4 2 2" xfId="18278"/>
    <cellStyle name="Normalny 3 2 4 4 3 4 2 3" xfId="18279"/>
    <cellStyle name="Normalny 3 2 4 4 3 4 3" xfId="18280"/>
    <cellStyle name="Normalny 3 2 4 4 3 4 4" xfId="18281"/>
    <cellStyle name="Normalny 3 2 4 4 3 5" xfId="18282"/>
    <cellStyle name="Normalny 3 2 4 4 3 5 2" xfId="18283"/>
    <cellStyle name="Normalny 3 2 4 4 3 5 3" xfId="18284"/>
    <cellStyle name="Normalny 3 2 4 4 3 6" xfId="18285"/>
    <cellStyle name="Normalny 3 2 4 4 3 7" xfId="18286"/>
    <cellStyle name="Normalny 3 2 4 4 4" xfId="18287"/>
    <cellStyle name="Normalny 3 2 4 4 4 2" xfId="18288"/>
    <cellStyle name="Normalny 3 2 4 4 4 2 2" xfId="18289"/>
    <cellStyle name="Normalny 3 2 4 4 4 2 3" xfId="18290"/>
    <cellStyle name="Normalny 3 2 4 4 4 3" xfId="18291"/>
    <cellStyle name="Normalny 3 2 4 4 4 4" xfId="18292"/>
    <cellStyle name="Normalny 3 2 4 4 5" xfId="18293"/>
    <cellStyle name="Normalny 3 2 4 4 5 2" xfId="18294"/>
    <cellStyle name="Normalny 3 2 4 4 5 2 2" xfId="18295"/>
    <cellStyle name="Normalny 3 2 4 4 5 2 3" xfId="18296"/>
    <cellStyle name="Normalny 3 2 4 4 5 3" xfId="18297"/>
    <cellStyle name="Normalny 3 2 4 4 5 4" xfId="18298"/>
    <cellStyle name="Normalny 3 2 4 4 6" xfId="18299"/>
    <cellStyle name="Normalny 3 2 4 4 6 2" xfId="18300"/>
    <cellStyle name="Normalny 3 2 4 4 6 2 2" xfId="18301"/>
    <cellStyle name="Normalny 3 2 4 4 6 2 3" xfId="18302"/>
    <cellStyle name="Normalny 3 2 4 4 6 3" xfId="18303"/>
    <cellStyle name="Normalny 3 2 4 4 6 4" xfId="18304"/>
    <cellStyle name="Normalny 3 2 4 4 7" xfId="18305"/>
    <cellStyle name="Normalny 3 2 4 4 7 2" xfId="18306"/>
    <cellStyle name="Normalny 3 2 4 4 7 3" xfId="18307"/>
    <cellStyle name="Normalny 3 2 4 4 8" xfId="18308"/>
    <cellStyle name="Normalny 3 2 4 4 9" xfId="18309"/>
    <cellStyle name="Normalny 3 2 4 5" xfId="18310"/>
    <cellStyle name="Normalny 3 2 4 5 2" xfId="18311"/>
    <cellStyle name="Normalny 3 2 4 5 2 2" xfId="18312"/>
    <cellStyle name="Normalny 3 2 4 5 2 2 2" xfId="18313"/>
    <cellStyle name="Normalny 3 2 4 5 2 2 3" xfId="18314"/>
    <cellStyle name="Normalny 3 2 4 5 2 3" xfId="18315"/>
    <cellStyle name="Normalny 3 2 4 5 2 4" xfId="18316"/>
    <cellStyle name="Normalny 3 2 4 5 3" xfId="18317"/>
    <cellStyle name="Normalny 3 2 4 5 3 2" xfId="18318"/>
    <cellStyle name="Normalny 3 2 4 5 3 2 2" xfId="18319"/>
    <cellStyle name="Normalny 3 2 4 5 3 2 3" xfId="18320"/>
    <cellStyle name="Normalny 3 2 4 5 3 3" xfId="18321"/>
    <cellStyle name="Normalny 3 2 4 5 3 4" xfId="18322"/>
    <cellStyle name="Normalny 3 2 4 5 4" xfId="18323"/>
    <cellStyle name="Normalny 3 2 4 5 4 2" xfId="18324"/>
    <cellStyle name="Normalny 3 2 4 5 4 2 2" xfId="18325"/>
    <cellStyle name="Normalny 3 2 4 5 4 2 3" xfId="18326"/>
    <cellStyle name="Normalny 3 2 4 5 4 3" xfId="18327"/>
    <cellStyle name="Normalny 3 2 4 5 4 4" xfId="18328"/>
    <cellStyle name="Normalny 3 2 4 5 5" xfId="18329"/>
    <cellStyle name="Normalny 3 2 4 5 5 2" xfId="18330"/>
    <cellStyle name="Normalny 3 2 4 5 5 3" xfId="18331"/>
    <cellStyle name="Normalny 3 2 4 5 6" xfId="18332"/>
    <cellStyle name="Normalny 3 2 4 5 7" xfId="18333"/>
    <cellStyle name="Normalny 3 2 4 6" xfId="18334"/>
    <cellStyle name="Normalny 3 2 4 6 2" xfId="18335"/>
    <cellStyle name="Normalny 3 2 4 6 2 2" xfId="18336"/>
    <cellStyle name="Normalny 3 2 4 6 2 2 2" xfId="18337"/>
    <cellStyle name="Normalny 3 2 4 6 2 2 3" xfId="18338"/>
    <cellStyle name="Normalny 3 2 4 6 2 3" xfId="18339"/>
    <cellStyle name="Normalny 3 2 4 6 2 4" xfId="18340"/>
    <cellStyle name="Normalny 3 2 4 6 3" xfId="18341"/>
    <cellStyle name="Normalny 3 2 4 6 3 2" xfId="18342"/>
    <cellStyle name="Normalny 3 2 4 6 3 2 2" xfId="18343"/>
    <cellStyle name="Normalny 3 2 4 6 3 2 3" xfId="18344"/>
    <cellStyle name="Normalny 3 2 4 6 3 3" xfId="18345"/>
    <cellStyle name="Normalny 3 2 4 6 3 4" xfId="18346"/>
    <cellStyle name="Normalny 3 2 4 6 4" xfId="18347"/>
    <cellStyle name="Normalny 3 2 4 6 4 2" xfId="18348"/>
    <cellStyle name="Normalny 3 2 4 6 4 2 2" xfId="18349"/>
    <cellStyle name="Normalny 3 2 4 6 4 2 3" xfId="18350"/>
    <cellStyle name="Normalny 3 2 4 6 4 3" xfId="18351"/>
    <cellStyle name="Normalny 3 2 4 6 4 4" xfId="18352"/>
    <cellStyle name="Normalny 3 2 4 6 5" xfId="18353"/>
    <cellStyle name="Normalny 3 2 4 6 5 2" xfId="18354"/>
    <cellStyle name="Normalny 3 2 4 6 5 3" xfId="18355"/>
    <cellStyle name="Normalny 3 2 4 6 6" xfId="18356"/>
    <cellStyle name="Normalny 3 2 4 6 7" xfId="18357"/>
    <cellStyle name="Normalny 3 2 4 7" xfId="18358"/>
    <cellStyle name="Normalny 3 2 4 7 2" xfId="18359"/>
    <cellStyle name="Normalny 3 2 4 7 2 2" xfId="18360"/>
    <cellStyle name="Normalny 3 2 4 7 2 2 2" xfId="18361"/>
    <cellStyle name="Normalny 3 2 4 7 2 2 3" xfId="18362"/>
    <cellStyle name="Normalny 3 2 4 7 2 3" xfId="18363"/>
    <cellStyle name="Normalny 3 2 4 7 2 4" xfId="18364"/>
    <cellStyle name="Normalny 3 2 4 7 3" xfId="18365"/>
    <cellStyle name="Normalny 3 2 4 7 3 2" xfId="18366"/>
    <cellStyle name="Normalny 3 2 4 7 3 3" xfId="18367"/>
    <cellStyle name="Normalny 3 2 4 7 4" xfId="18368"/>
    <cellStyle name="Normalny 3 2 4 7 5" xfId="18369"/>
    <cellStyle name="Normalny 3 2 4 8" xfId="18370"/>
    <cellStyle name="Normalny 3 2 4 8 2" xfId="18371"/>
    <cellStyle name="Normalny 3 2 4 8 2 2" xfId="18372"/>
    <cellStyle name="Normalny 3 2 4 8 2 3" xfId="18373"/>
    <cellStyle name="Normalny 3 2 4 8 3" xfId="18374"/>
    <cellStyle name="Normalny 3 2 4 8 4" xfId="18375"/>
    <cellStyle name="Normalny 3 2 4 9" xfId="18376"/>
    <cellStyle name="Normalny 3 2 4 9 2" xfId="18377"/>
    <cellStyle name="Normalny 3 2 4 9 2 2" xfId="18378"/>
    <cellStyle name="Normalny 3 2 4 9 2 3" xfId="18379"/>
    <cellStyle name="Normalny 3 2 4 9 3" xfId="18380"/>
    <cellStyle name="Normalny 3 2 4 9 4" xfId="18381"/>
    <cellStyle name="Normalny 3 2 5" xfId="18382"/>
    <cellStyle name="Normalny 3 2 5 10" xfId="18383"/>
    <cellStyle name="Normalny 3 2 5 11" xfId="18384"/>
    <cellStyle name="Normalny 3 2 5 2" xfId="18385"/>
    <cellStyle name="Normalny 3 2 5 2 10" xfId="18386"/>
    <cellStyle name="Normalny 3 2 5 2 2" xfId="18387"/>
    <cellStyle name="Normalny 3 2 5 2 2 2" xfId="18388"/>
    <cellStyle name="Normalny 3 2 5 2 2 2 2" xfId="18389"/>
    <cellStyle name="Normalny 3 2 5 2 2 2 2 2" xfId="18390"/>
    <cellStyle name="Normalny 3 2 5 2 2 2 2 3" xfId="18391"/>
    <cellStyle name="Normalny 3 2 5 2 2 2 3" xfId="18392"/>
    <cellStyle name="Normalny 3 2 5 2 2 2 4" xfId="18393"/>
    <cellStyle name="Normalny 3 2 5 2 2 3" xfId="18394"/>
    <cellStyle name="Normalny 3 2 5 2 2 3 2" xfId="18395"/>
    <cellStyle name="Normalny 3 2 5 2 2 3 2 2" xfId="18396"/>
    <cellStyle name="Normalny 3 2 5 2 2 3 2 3" xfId="18397"/>
    <cellStyle name="Normalny 3 2 5 2 2 3 3" xfId="18398"/>
    <cellStyle name="Normalny 3 2 5 2 2 3 4" xfId="18399"/>
    <cellStyle name="Normalny 3 2 5 2 2 4" xfId="18400"/>
    <cellStyle name="Normalny 3 2 5 2 2 4 2" xfId="18401"/>
    <cellStyle name="Normalny 3 2 5 2 2 4 2 2" xfId="18402"/>
    <cellStyle name="Normalny 3 2 5 2 2 4 2 3" xfId="18403"/>
    <cellStyle name="Normalny 3 2 5 2 2 4 3" xfId="18404"/>
    <cellStyle name="Normalny 3 2 5 2 2 4 4" xfId="18405"/>
    <cellStyle name="Normalny 3 2 5 2 2 5" xfId="18406"/>
    <cellStyle name="Normalny 3 2 5 2 2 5 2" xfId="18407"/>
    <cellStyle name="Normalny 3 2 5 2 2 5 3" xfId="18408"/>
    <cellStyle name="Normalny 3 2 5 2 2 6" xfId="18409"/>
    <cellStyle name="Normalny 3 2 5 2 2 7" xfId="18410"/>
    <cellStyle name="Normalny 3 2 5 2 3" xfId="18411"/>
    <cellStyle name="Normalny 3 2 5 2 3 2" xfId="18412"/>
    <cellStyle name="Normalny 3 2 5 2 3 2 2" xfId="18413"/>
    <cellStyle name="Normalny 3 2 5 2 3 2 2 2" xfId="18414"/>
    <cellStyle name="Normalny 3 2 5 2 3 2 2 3" xfId="18415"/>
    <cellStyle name="Normalny 3 2 5 2 3 2 3" xfId="18416"/>
    <cellStyle name="Normalny 3 2 5 2 3 2 4" xfId="18417"/>
    <cellStyle name="Normalny 3 2 5 2 3 3" xfId="18418"/>
    <cellStyle name="Normalny 3 2 5 2 3 3 2" xfId="18419"/>
    <cellStyle name="Normalny 3 2 5 2 3 3 2 2" xfId="18420"/>
    <cellStyle name="Normalny 3 2 5 2 3 3 2 3" xfId="18421"/>
    <cellStyle name="Normalny 3 2 5 2 3 3 3" xfId="18422"/>
    <cellStyle name="Normalny 3 2 5 2 3 3 4" xfId="18423"/>
    <cellStyle name="Normalny 3 2 5 2 3 4" xfId="18424"/>
    <cellStyle name="Normalny 3 2 5 2 3 4 2" xfId="18425"/>
    <cellStyle name="Normalny 3 2 5 2 3 4 2 2" xfId="18426"/>
    <cellStyle name="Normalny 3 2 5 2 3 4 2 3" xfId="18427"/>
    <cellStyle name="Normalny 3 2 5 2 3 4 3" xfId="18428"/>
    <cellStyle name="Normalny 3 2 5 2 3 4 4" xfId="18429"/>
    <cellStyle name="Normalny 3 2 5 2 3 5" xfId="18430"/>
    <cellStyle name="Normalny 3 2 5 2 3 5 2" xfId="18431"/>
    <cellStyle name="Normalny 3 2 5 2 3 5 3" xfId="18432"/>
    <cellStyle name="Normalny 3 2 5 2 3 6" xfId="18433"/>
    <cellStyle name="Normalny 3 2 5 2 3 7" xfId="18434"/>
    <cellStyle name="Normalny 3 2 5 2 4" xfId="18435"/>
    <cellStyle name="Normalny 3 2 5 2 4 2" xfId="18436"/>
    <cellStyle name="Normalny 3 2 5 2 4 2 2" xfId="18437"/>
    <cellStyle name="Normalny 3 2 5 2 4 2 2 2" xfId="18438"/>
    <cellStyle name="Normalny 3 2 5 2 4 2 2 3" xfId="18439"/>
    <cellStyle name="Normalny 3 2 5 2 4 2 3" xfId="18440"/>
    <cellStyle name="Normalny 3 2 5 2 4 2 4" xfId="18441"/>
    <cellStyle name="Normalny 3 2 5 2 4 3" xfId="18442"/>
    <cellStyle name="Normalny 3 2 5 2 4 3 2" xfId="18443"/>
    <cellStyle name="Normalny 3 2 5 2 4 3 3" xfId="18444"/>
    <cellStyle name="Normalny 3 2 5 2 4 4" xfId="18445"/>
    <cellStyle name="Normalny 3 2 5 2 4 5" xfId="18446"/>
    <cellStyle name="Normalny 3 2 5 2 5" xfId="18447"/>
    <cellStyle name="Normalny 3 2 5 2 5 2" xfId="18448"/>
    <cellStyle name="Normalny 3 2 5 2 5 2 2" xfId="18449"/>
    <cellStyle name="Normalny 3 2 5 2 5 2 3" xfId="18450"/>
    <cellStyle name="Normalny 3 2 5 2 5 3" xfId="18451"/>
    <cellStyle name="Normalny 3 2 5 2 5 4" xfId="18452"/>
    <cellStyle name="Normalny 3 2 5 2 6" xfId="18453"/>
    <cellStyle name="Normalny 3 2 5 2 6 2" xfId="18454"/>
    <cellStyle name="Normalny 3 2 5 2 6 2 2" xfId="18455"/>
    <cellStyle name="Normalny 3 2 5 2 6 2 3" xfId="18456"/>
    <cellStyle name="Normalny 3 2 5 2 6 3" xfId="18457"/>
    <cellStyle name="Normalny 3 2 5 2 6 4" xfId="18458"/>
    <cellStyle name="Normalny 3 2 5 2 7" xfId="18459"/>
    <cellStyle name="Normalny 3 2 5 2 7 2" xfId="18460"/>
    <cellStyle name="Normalny 3 2 5 2 7 2 2" xfId="18461"/>
    <cellStyle name="Normalny 3 2 5 2 7 2 3" xfId="18462"/>
    <cellStyle name="Normalny 3 2 5 2 7 3" xfId="18463"/>
    <cellStyle name="Normalny 3 2 5 2 7 4" xfId="18464"/>
    <cellStyle name="Normalny 3 2 5 2 8" xfId="18465"/>
    <cellStyle name="Normalny 3 2 5 2 8 2" xfId="18466"/>
    <cellStyle name="Normalny 3 2 5 2 8 3" xfId="18467"/>
    <cellStyle name="Normalny 3 2 5 2 9" xfId="18468"/>
    <cellStyle name="Normalny 3 2 5 3" xfId="18469"/>
    <cellStyle name="Normalny 3 2 5 3 2" xfId="18470"/>
    <cellStyle name="Normalny 3 2 5 3 2 2" xfId="18471"/>
    <cellStyle name="Normalny 3 2 5 3 2 2 2" xfId="18472"/>
    <cellStyle name="Normalny 3 2 5 3 2 2 3" xfId="18473"/>
    <cellStyle name="Normalny 3 2 5 3 2 3" xfId="18474"/>
    <cellStyle name="Normalny 3 2 5 3 2 4" xfId="18475"/>
    <cellStyle name="Normalny 3 2 5 3 3" xfId="18476"/>
    <cellStyle name="Normalny 3 2 5 3 3 2" xfId="18477"/>
    <cellStyle name="Normalny 3 2 5 3 3 2 2" xfId="18478"/>
    <cellStyle name="Normalny 3 2 5 3 3 2 3" xfId="18479"/>
    <cellStyle name="Normalny 3 2 5 3 3 3" xfId="18480"/>
    <cellStyle name="Normalny 3 2 5 3 3 4" xfId="18481"/>
    <cellStyle name="Normalny 3 2 5 3 4" xfId="18482"/>
    <cellStyle name="Normalny 3 2 5 3 4 2" xfId="18483"/>
    <cellStyle name="Normalny 3 2 5 3 4 2 2" xfId="18484"/>
    <cellStyle name="Normalny 3 2 5 3 4 2 3" xfId="18485"/>
    <cellStyle name="Normalny 3 2 5 3 4 3" xfId="18486"/>
    <cellStyle name="Normalny 3 2 5 3 4 4" xfId="18487"/>
    <cellStyle name="Normalny 3 2 5 3 5" xfId="18488"/>
    <cellStyle name="Normalny 3 2 5 3 5 2" xfId="18489"/>
    <cellStyle name="Normalny 3 2 5 3 5 3" xfId="18490"/>
    <cellStyle name="Normalny 3 2 5 3 6" xfId="18491"/>
    <cellStyle name="Normalny 3 2 5 3 7" xfId="18492"/>
    <cellStyle name="Normalny 3 2 5 4" xfId="18493"/>
    <cellStyle name="Normalny 3 2 5 4 2" xfId="18494"/>
    <cellStyle name="Normalny 3 2 5 4 2 2" xfId="18495"/>
    <cellStyle name="Normalny 3 2 5 4 2 2 2" xfId="18496"/>
    <cellStyle name="Normalny 3 2 5 4 2 2 3" xfId="18497"/>
    <cellStyle name="Normalny 3 2 5 4 2 3" xfId="18498"/>
    <cellStyle name="Normalny 3 2 5 4 2 4" xfId="18499"/>
    <cellStyle name="Normalny 3 2 5 4 3" xfId="18500"/>
    <cellStyle name="Normalny 3 2 5 4 3 2" xfId="18501"/>
    <cellStyle name="Normalny 3 2 5 4 3 2 2" xfId="18502"/>
    <cellStyle name="Normalny 3 2 5 4 3 2 3" xfId="18503"/>
    <cellStyle name="Normalny 3 2 5 4 3 3" xfId="18504"/>
    <cellStyle name="Normalny 3 2 5 4 3 4" xfId="18505"/>
    <cellStyle name="Normalny 3 2 5 4 4" xfId="18506"/>
    <cellStyle name="Normalny 3 2 5 4 4 2" xfId="18507"/>
    <cellStyle name="Normalny 3 2 5 4 4 2 2" xfId="18508"/>
    <cellStyle name="Normalny 3 2 5 4 4 2 3" xfId="18509"/>
    <cellStyle name="Normalny 3 2 5 4 4 3" xfId="18510"/>
    <cellStyle name="Normalny 3 2 5 4 4 4" xfId="18511"/>
    <cellStyle name="Normalny 3 2 5 4 5" xfId="18512"/>
    <cellStyle name="Normalny 3 2 5 4 5 2" xfId="18513"/>
    <cellStyle name="Normalny 3 2 5 4 5 3" xfId="18514"/>
    <cellStyle name="Normalny 3 2 5 4 6" xfId="18515"/>
    <cellStyle name="Normalny 3 2 5 4 7" xfId="18516"/>
    <cellStyle name="Normalny 3 2 5 5" xfId="18517"/>
    <cellStyle name="Normalny 3 2 5 5 2" xfId="18518"/>
    <cellStyle name="Normalny 3 2 5 5 2 2" xfId="18519"/>
    <cellStyle name="Normalny 3 2 5 5 2 2 2" xfId="18520"/>
    <cellStyle name="Normalny 3 2 5 5 2 2 3" xfId="18521"/>
    <cellStyle name="Normalny 3 2 5 5 2 3" xfId="18522"/>
    <cellStyle name="Normalny 3 2 5 5 2 4" xfId="18523"/>
    <cellStyle name="Normalny 3 2 5 5 3" xfId="18524"/>
    <cellStyle name="Normalny 3 2 5 5 3 2" xfId="18525"/>
    <cellStyle name="Normalny 3 2 5 5 3 3" xfId="18526"/>
    <cellStyle name="Normalny 3 2 5 5 4" xfId="18527"/>
    <cellStyle name="Normalny 3 2 5 5 5" xfId="18528"/>
    <cellStyle name="Normalny 3 2 5 6" xfId="18529"/>
    <cellStyle name="Normalny 3 2 5 6 2" xfId="18530"/>
    <cellStyle name="Normalny 3 2 5 6 2 2" xfId="18531"/>
    <cellStyle name="Normalny 3 2 5 6 2 3" xfId="18532"/>
    <cellStyle name="Normalny 3 2 5 6 3" xfId="18533"/>
    <cellStyle name="Normalny 3 2 5 6 4" xfId="18534"/>
    <cellStyle name="Normalny 3 2 5 7" xfId="18535"/>
    <cellStyle name="Normalny 3 2 5 7 2" xfId="18536"/>
    <cellStyle name="Normalny 3 2 5 7 2 2" xfId="18537"/>
    <cellStyle name="Normalny 3 2 5 7 2 3" xfId="18538"/>
    <cellStyle name="Normalny 3 2 5 7 3" xfId="18539"/>
    <cellStyle name="Normalny 3 2 5 7 4" xfId="18540"/>
    <cellStyle name="Normalny 3 2 5 8" xfId="18541"/>
    <cellStyle name="Normalny 3 2 5 8 2" xfId="18542"/>
    <cellStyle name="Normalny 3 2 5 8 2 2" xfId="18543"/>
    <cellStyle name="Normalny 3 2 5 8 2 3" xfId="18544"/>
    <cellStyle name="Normalny 3 2 5 8 3" xfId="18545"/>
    <cellStyle name="Normalny 3 2 5 8 4" xfId="18546"/>
    <cellStyle name="Normalny 3 2 5 9" xfId="18547"/>
    <cellStyle name="Normalny 3 2 5 9 2" xfId="18548"/>
    <cellStyle name="Normalny 3 2 5 9 3" xfId="18549"/>
    <cellStyle name="Normalny 3 2 6" xfId="18550"/>
    <cellStyle name="Normalny 3 2 6 10" xfId="18551"/>
    <cellStyle name="Normalny 3 2 6 2" xfId="18552"/>
    <cellStyle name="Normalny 3 2 6 2 2" xfId="18553"/>
    <cellStyle name="Normalny 3 2 6 2 2 2" xfId="18554"/>
    <cellStyle name="Normalny 3 2 6 2 2 2 2" xfId="18555"/>
    <cellStyle name="Normalny 3 2 6 2 2 2 3" xfId="18556"/>
    <cellStyle name="Normalny 3 2 6 2 2 3" xfId="18557"/>
    <cellStyle name="Normalny 3 2 6 2 2 4" xfId="18558"/>
    <cellStyle name="Normalny 3 2 6 2 3" xfId="18559"/>
    <cellStyle name="Normalny 3 2 6 2 3 2" xfId="18560"/>
    <cellStyle name="Normalny 3 2 6 2 3 2 2" xfId="18561"/>
    <cellStyle name="Normalny 3 2 6 2 3 2 3" xfId="18562"/>
    <cellStyle name="Normalny 3 2 6 2 3 3" xfId="18563"/>
    <cellStyle name="Normalny 3 2 6 2 3 4" xfId="18564"/>
    <cellStyle name="Normalny 3 2 6 2 4" xfId="18565"/>
    <cellStyle name="Normalny 3 2 6 2 4 2" xfId="18566"/>
    <cellStyle name="Normalny 3 2 6 2 4 2 2" xfId="18567"/>
    <cellStyle name="Normalny 3 2 6 2 4 2 3" xfId="18568"/>
    <cellStyle name="Normalny 3 2 6 2 4 3" xfId="18569"/>
    <cellStyle name="Normalny 3 2 6 2 4 4" xfId="18570"/>
    <cellStyle name="Normalny 3 2 6 2 5" xfId="18571"/>
    <cellStyle name="Normalny 3 2 6 2 5 2" xfId="18572"/>
    <cellStyle name="Normalny 3 2 6 2 5 3" xfId="18573"/>
    <cellStyle name="Normalny 3 2 6 2 6" xfId="18574"/>
    <cellStyle name="Normalny 3 2 6 2 7" xfId="18575"/>
    <cellStyle name="Normalny 3 2 6 3" xfId="18576"/>
    <cellStyle name="Normalny 3 2 6 3 2" xfId="18577"/>
    <cellStyle name="Normalny 3 2 6 3 2 2" xfId="18578"/>
    <cellStyle name="Normalny 3 2 6 3 2 2 2" xfId="18579"/>
    <cellStyle name="Normalny 3 2 6 3 2 2 3" xfId="18580"/>
    <cellStyle name="Normalny 3 2 6 3 2 3" xfId="18581"/>
    <cellStyle name="Normalny 3 2 6 3 2 4" xfId="18582"/>
    <cellStyle name="Normalny 3 2 6 3 3" xfId="18583"/>
    <cellStyle name="Normalny 3 2 6 3 3 2" xfId="18584"/>
    <cellStyle name="Normalny 3 2 6 3 3 2 2" xfId="18585"/>
    <cellStyle name="Normalny 3 2 6 3 3 2 3" xfId="18586"/>
    <cellStyle name="Normalny 3 2 6 3 3 3" xfId="18587"/>
    <cellStyle name="Normalny 3 2 6 3 3 4" xfId="18588"/>
    <cellStyle name="Normalny 3 2 6 3 4" xfId="18589"/>
    <cellStyle name="Normalny 3 2 6 3 4 2" xfId="18590"/>
    <cellStyle name="Normalny 3 2 6 3 4 2 2" xfId="18591"/>
    <cellStyle name="Normalny 3 2 6 3 4 2 3" xfId="18592"/>
    <cellStyle name="Normalny 3 2 6 3 4 3" xfId="18593"/>
    <cellStyle name="Normalny 3 2 6 3 4 4" xfId="18594"/>
    <cellStyle name="Normalny 3 2 6 3 5" xfId="18595"/>
    <cellStyle name="Normalny 3 2 6 3 5 2" xfId="18596"/>
    <cellStyle name="Normalny 3 2 6 3 5 3" xfId="18597"/>
    <cellStyle name="Normalny 3 2 6 3 6" xfId="18598"/>
    <cellStyle name="Normalny 3 2 6 3 7" xfId="18599"/>
    <cellStyle name="Normalny 3 2 6 4" xfId="18600"/>
    <cellStyle name="Normalny 3 2 6 4 2" xfId="18601"/>
    <cellStyle name="Normalny 3 2 6 4 2 2" xfId="18602"/>
    <cellStyle name="Normalny 3 2 6 4 2 2 2" xfId="18603"/>
    <cellStyle name="Normalny 3 2 6 4 2 2 3" xfId="18604"/>
    <cellStyle name="Normalny 3 2 6 4 2 3" xfId="18605"/>
    <cellStyle name="Normalny 3 2 6 4 2 4" xfId="18606"/>
    <cellStyle name="Normalny 3 2 6 4 3" xfId="18607"/>
    <cellStyle name="Normalny 3 2 6 4 3 2" xfId="18608"/>
    <cellStyle name="Normalny 3 2 6 4 3 3" xfId="18609"/>
    <cellStyle name="Normalny 3 2 6 4 4" xfId="18610"/>
    <cellStyle name="Normalny 3 2 6 4 5" xfId="18611"/>
    <cellStyle name="Normalny 3 2 6 5" xfId="18612"/>
    <cellStyle name="Normalny 3 2 6 5 2" xfId="18613"/>
    <cellStyle name="Normalny 3 2 6 5 2 2" xfId="18614"/>
    <cellStyle name="Normalny 3 2 6 5 2 3" xfId="18615"/>
    <cellStyle name="Normalny 3 2 6 5 3" xfId="18616"/>
    <cellStyle name="Normalny 3 2 6 5 4" xfId="18617"/>
    <cellStyle name="Normalny 3 2 6 6" xfId="18618"/>
    <cellStyle name="Normalny 3 2 6 6 2" xfId="18619"/>
    <cellStyle name="Normalny 3 2 6 6 2 2" xfId="18620"/>
    <cellStyle name="Normalny 3 2 6 6 2 3" xfId="18621"/>
    <cellStyle name="Normalny 3 2 6 6 3" xfId="18622"/>
    <cellStyle name="Normalny 3 2 6 6 4" xfId="18623"/>
    <cellStyle name="Normalny 3 2 6 7" xfId="18624"/>
    <cellStyle name="Normalny 3 2 6 7 2" xfId="18625"/>
    <cellStyle name="Normalny 3 2 6 7 2 2" xfId="18626"/>
    <cellStyle name="Normalny 3 2 6 7 2 3" xfId="18627"/>
    <cellStyle name="Normalny 3 2 6 7 3" xfId="18628"/>
    <cellStyle name="Normalny 3 2 6 7 4" xfId="18629"/>
    <cellStyle name="Normalny 3 2 6 8" xfId="18630"/>
    <cellStyle name="Normalny 3 2 6 8 2" xfId="18631"/>
    <cellStyle name="Normalny 3 2 6 8 3" xfId="18632"/>
    <cellStyle name="Normalny 3 2 6 9" xfId="18633"/>
    <cellStyle name="Normalny 3 2 7" xfId="18634"/>
    <cellStyle name="Normalny 3 2 7 2" xfId="18635"/>
    <cellStyle name="Normalny 3 2 7 2 2" xfId="18636"/>
    <cellStyle name="Normalny 3 2 7 2 2 2" xfId="18637"/>
    <cellStyle name="Normalny 3 2 7 2 2 2 2" xfId="18638"/>
    <cellStyle name="Normalny 3 2 7 2 2 2 3" xfId="18639"/>
    <cellStyle name="Normalny 3 2 7 2 2 3" xfId="18640"/>
    <cellStyle name="Normalny 3 2 7 2 2 4" xfId="18641"/>
    <cellStyle name="Normalny 3 2 7 2 3" xfId="18642"/>
    <cellStyle name="Normalny 3 2 7 2 3 2" xfId="18643"/>
    <cellStyle name="Normalny 3 2 7 2 3 2 2" xfId="18644"/>
    <cellStyle name="Normalny 3 2 7 2 3 2 3" xfId="18645"/>
    <cellStyle name="Normalny 3 2 7 2 3 3" xfId="18646"/>
    <cellStyle name="Normalny 3 2 7 2 3 4" xfId="18647"/>
    <cellStyle name="Normalny 3 2 7 2 4" xfId="18648"/>
    <cellStyle name="Normalny 3 2 7 2 4 2" xfId="18649"/>
    <cellStyle name="Normalny 3 2 7 2 4 2 2" xfId="18650"/>
    <cellStyle name="Normalny 3 2 7 2 4 2 3" xfId="18651"/>
    <cellStyle name="Normalny 3 2 7 2 4 3" xfId="18652"/>
    <cellStyle name="Normalny 3 2 7 2 4 4" xfId="18653"/>
    <cellStyle name="Normalny 3 2 7 2 5" xfId="18654"/>
    <cellStyle name="Normalny 3 2 7 2 5 2" xfId="18655"/>
    <cellStyle name="Normalny 3 2 7 2 5 3" xfId="18656"/>
    <cellStyle name="Normalny 3 2 7 2 6" xfId="18657"/>
    <cellStyle name="Normalny 3 2 7 2 7" xfId="18658"/>
    <cellStyle name="Normalny 3 2 7 3" xfId="18659"/>
    <cellStyle name="Normalny 3 2 7 3 2" xfId="18660"/>
    <cellStyle name="Normalny 3 2 7 3 2 2" xfId="18661"/>
    <cellStyle name="Normalny 3 2 7 3 2 2 2" xfId="18662"/>
    <cellStyle name="Normalny 3 2 7 3 2 2 3" xfId="18663"/>
    <cellStyle name="Normalny 3 2 7 3 2 3" xfId="18664"/>
    <cellStyle name="Normalny 3 2 7 3 2 4" xfId="18665"/>
    <cellStyle name="Normalny 3 2 7 3 3" xfId="18666"/>
    <cellStyle name="Normalny 3 2 7 3 3 2" xfId="18667"/>
    <cellStyle name="Normalny 3 2 7 3 3 2 2" xfId="18668"/>
    <cellStyle name="Normalny 3 2 7 3 3 2 3" xfId="18669"/>
    <cellStyle name="Normalny 3 2 7 3 3 3" xfId="18670"/>
    <cellStyle name="Normalny 3 2 7 3 3 4" xfId="18671"/>
    <cellStyle name="Normalny 3 2 7 3 4" xfId="18672"/>
    <cellStyle name="Normalny 3 2 7 3 4 2" xfId="18673"/>
    <cellStyle name="Normalny 3 2 7 3 4 2 2" xfId="18674"/>
    <cellStyle name="Normalny 3 2 7 3 4 2 3" xfId="18675"/>
    <cellStyle name="Normalny 3 2 7 3 4 3" xfId="18676"/>
    <cellStyle name="Normalny 3 2 7 3 4 4" xfId="18677"/>
    <cellStyle name="Normalny 3 2 7 3 5" xfId="18678"/>
    <cellStyle name="Normalny 3 2 7 3 5 2" xfId="18679"/>
    <cellStyle name="Normalny 3 2 7 3 5 3" xfId="18680"/>
    <cellStyle name="Normalny 3 2 7 3 6" xfId="18681"/>
    <cellStyle name="Normalny 3 2 7 3 7" xfId="18682"/>
    <cellStyle name="Normalny 3 2 7 4" xfId="18683"/>
    <cellStyle name="Normalny 3 2 7 4 2" xfId="18684"/>
    <cellStyle name="Normalny 3 2 7 4 2 2" xfId="18685"/>
    <cellStyle name="Normalny 3 2 7 4 2 3" xfId="18686"/>
    <cellStyle name="Normalny 3 2 7 4 3" xfId="18687"/>
    <cellStyle name="Normalny 3 2 7 4 4" xfId="18688"/>
    <cellStyle name="Normalny 3 2 7 5" xfId="18689"/>
    <cellStyle name="Normalny 3 2 7 5 2" xfId="18690"/>
    <cellStyle name="Normalny 3 2 7 5 2 2" xfId="18691"/>
    <cellStyle name="Normalny 3 2 7 5 2 3" xfId="18692"/>
    <cellStyle name="Normalny 3 2 7 5 3" xfId="18693"/>
    <cellStyle name="Normalny 3 2 7 5 4" xfId="18694"/>
    <cellStyle name="Normalny 3 2 7 6" xfId="18695"/>
    <cellStyle name="Normalny 3 2 7 6 2" xfId="18696"/>
    <cellStyle name="Normalny 3 2 7 6 2 2" xfId="18697"/>
    <cellStyle name="Normalny 3 2 7 6 2 3" xfId="18698"/>
    <cellStyle name="Normalny 3 2 7 6 3" xfId="18699"/>
    <cellStyle name="Normalny 3 2 7 6 4" xfId="18700"/>
    <cellStyle name="Normalny 3 2 7 7" xfId="18701"/>
    <cellStyle name="Normalny 3 2 7 7 2" xfId="18702"/>
    <cellStyle name="Normalny 3 2 7 7 3" xfId="18703"/>
    <cellStyle name="Normalny 3 2 7 8" xfId="18704"/>
    <cellStyle name="Normalny 3 2 7 9" xfId="18705"/>
    <cellStyle name="Normalny 3 2 8" xfId="18706"/>
    <cellStyle name="Normalny 3 2 8 2" xfId="18707"/>
    <cellStyle name="Normalny 3 2 8 2 2" xfId="18708"/>
    <cellStyle name="Normalny 3 2 8 2 2 2" xfId="18709"/>
    <cellStyle name="Normalny 3 2 8 2 2 2 2" xfId="18710"/>
    <cellStyle name="Normalny 3 2 8 2 2 2 3" xfId="18711"/>
    <cellStyle name="Normalny 3 2 8 2 2 3" xfId="18712"/>
    <cellStyle name="Normalny 3 2 8 2 2 4" xfId="18713"/>
    <cellStyle name="Normalny 3 2 8 2 3" xfId="18714"/>
    <cellStyle name="Normalny 3 2 8 2 3 2" xfId="18715"/>
    <cellStyle name="Normalny 3 2 8 2 3 2 2" xfId="18716"/>
    <cellStyle name="Normalny 3 2 8 2 3 2 3" xfId="18717"/>
    <cellStyle name="Normalny 3 2 8 2 3 3" xfId="18718"/>
    <cellStyle name="Normalny 3 2 8 2 3 4" xfId="18719"/>
    <cellStyle name="Normalny 3 2 8 2 4" xfId="18720"/>
    <cellStyle name="Normalny 3 2 8 2 4 2" xfId="18721"/>
    <cellStyle name="Normalny 3 2 8 2 4 2 2" xfId="18722"/>
    <cellStyle name="Normalny 3 2 8 2 4 2 3" xfId="18723"/>
    <cellStyle name="Normalny 3 2 8 2 4 3" xfId="18724"/>
    <cellStyle name="Normalny 3 2 8 2 4 4" xfId="18725"/>
    <cellStyle name="Normalny 3 2 8 2 5" xfId="18726"/>
    <cellStyle name="Normalny 3 2 8 2 5 2" xfId="18727"/>
    <cellStyle name="Normalny 3 2 8 2 5 3" xfId="18728"/>
    <cellStyle name="Normalny 3 2 8 2 6" xfId="18729"/>
    <cellStyle name="Normalny 3 2 8 2 7" xfId="18730"/>
    <cellStyle name="Normalny 3 2 8 3" xfId="18731"/>
    <cellStyle name="Normalny 3 2 8 3 2" xfId="18732"/>
    <cellStyle name="Normalny 3 2 8 3 2 2" xfId="18733"/>
    <cellStyle name="Normalny 3 2 8 3 2 2 2" xfId="18734"/>
    <cellStyle name="Normalny 3 2 8 3 2 2 3" xfId="18735"/>
    <cellStyle name="Normalny 3 2 8 3 2 3" xfId="18736"/>
    <cellStyle name="Normalny 3 2 8 3 2 4" xfId="18737"/>
    <cellStyle name="Normalny 3 2 8 3 3" xfId="18738"/>
    <cellStyle name="Normalny 3 2 8 3 3 2" xfId="18739"/>
    <cellStyle name="Normalny 3 2 8 3 3 2 2" xfId="18740"/>
    <cellStyle name="Normalny 3 2 8 3 3 2 3" xfId="18741"/>
    <cellStyle name="Normalny 3 2 8 3 3 3" xfId="18742"/>
    <cellStyle name="Normalny 3 2 8 3 3 4" xfId="18743"/>
    <cellStyle name="Normalny 3 2 8 3 4" xfId="18744"/>
    <cellStyle name="Normalny 3 2 8 3 4 2" xfId="18745"/>
    <cellStyle name="Normalny 3 2 8 3 4 2 2" xfId="18746"/>
    <cellStyle name="Normalny 3 2 8 3 4 2 3" xfId="18747"/>
    <cellStyle name="Normalny 3 2 8 3 4 3" xfId="18748"/>
    <cellStyle name="Normalny 3 2 8 3 4 4" xfId="18749"/>
    <cellStyle name="Normalny 3 2 8 3 5" xfId="18750"/>
    <cellStyle name="Normalny 3 2 8 3 5 2" xfId="18751"/>
    <cellStyle name="Normalny 3 2 8 3 5 3" xfId="18752"/>
    <cellStyle name="Normalny 3 2 8 3 6" xfId="18753"/>
    <cellStyle name="Normalny 3 2 8 3 7" xfId="18754"/>
    <cellStyle name="Normalny 3 2 8 4" xfId="18755"/>
    <cellStyle name="Normalny 3 2 8 4 2" xfId="18756"/>
    <cellStyle name="Normalny 3 2 8 4 2 2" xfId="18757"/>
    <cellStyle name="Normalny 3 2 8 4 2 3" xfId="18758"/>
    <cellStyle name="Normalny 3 2 8 4 3" xfId="18759"/>
    <cellStyle name="Normalny 3 2 8 4 4" xfId="18760"/>
    <cellStyle name="Normalny 3 2 8 5" xfId="18761"/>
    <cellStyle name="Normalny 3 2 8 5 2" xfId="18762"/>
    <cellStyle name="Normalny 3 2 8 5 2 2" xfId="18763"/>
    <cellStyle name="Normalny 3 2 8 5 2 3" xfId="18764"/>
    <cellStyle name="Normalny 3 2 8 5 3" xfId="18765"/>
    <cellStyle name="Normalny 3 2 8 5 4" xfId="18766"/>
    <cellStyle name="Normalny 3 2 8 6" xfId="18767"/>
    <cellStyle name="Normalny 3 2 8 6 2" xfId="18768"/>
    <cellStyle name="Normalny 3 2 8 6 2 2" xfId="18769"/>
    <cellStyle name="Normalny 3 2 8 6 2 3" xfId="18770"/>
    <cellStyle name="Normalny 3 2 8 6 3" xfId="18771"/>
    <cellStyle name="Normalny 3 2 8 6 4" xfId="18772"/>
    <cellStyle name="Normalny 3 2 8 7" xfId="18773"/>
    <cellStyle name="Normalny 3 2 8 7 2" xfId="18774"/>
    <cellStyle name="Normalny 3 2 8 7 3" xfId="18775"/>
    <cellStyle name="Normalny 3 2 8 8" xfId="18776"/>
    <cellStyle name="Normalny 3 2 8 9" xfId="18777"/>
    <cellStyle name="Normalny 3 2 9" xfId="18778"/>
    <cellStyle name="Normalny 3 2 9 2" xfId="18779"/>
    <cellStyle name="Normalny 3 2 9 2 2" xfId="18780"/>
    <cellStyle name="Normalny 3 2 9 2 2 2" xfId="18781"/>
    <cellStyle name="Normalny 3 2 9 2 2 2 2" xfId="18782"/>
    <cellStyle name="Normalny 3 2 9 2 2 2 3" xfId="18783"/>
    <cellStyle name="Normalny 3 2 9 2 2 3" xfId="18784"/>
    <cellStyle name="Normalny 3 2 9 2 2 4" xfId="18785"/>
    <cellStyle name="Normalny 3 2 9 2 3" xfId="18786"/>
    <cellStyle name="Normalny 3 2 9 2 3 2" xfId="18787"/>
    <cellStyle name="Normalny 3 2 9 2 3 2 2" xfId="18788"/>
    <cellStyle name="Normalny 3 2 9 2 3 2 3" xfId="18789"/>
    <cellStyle name="Normalny 3 2 9 2 3 3" xfId="18790"/>
    <cellStyle name="Normalny 3 2 9 2 3 4" xfId="18791"/>
    <cellStyle name="Normalny 3 2 9 2 4" xfId="18792"/>
    <cellStyle name="Normalny 3 2 9 2 4 2" xfId="18793"/>
    <cellStyle name="Normalny 3 2 9 2 4 2 2" xfId="18794"/>
    <cellStyle name="Normalny 3 2 9 2 4 2 3" xfId="18795"/>
    <cellStyle name="Normalny 3 2 9 2 4 3" xfId="18796"/>
    <cellStyle name="Normalny 3 2 9 2 4 4" xfId="18797"/>
    <cellStyle name="Normalny 3 2 9 2 5" xfId="18798"/>
    <cellStyle name="Normalny 3 2 9 2 5 2" xfId="18799"/>
    <cellStyle name="Normalny 3 2 9 2 5 3" xfId="18800"/>
    <cellStyle name="Normalny 3 2 9 2 6" xfId="18801"/>
    <cellStyle name="Normalny 3 2 9 2 7" xfId="18802"/>
    <cellStyle name="Normalny 3 2 9 3" xfId="18803"/>
    <cellStyle name="Normalny 3 2 9 3 2" xfId="18804"/>
    <cellStyle name="Normalny 3 2 9 3 2 2" xfId="18805"/>
    <cellStyle name="Normalny 3 2 9 3 2 3" xfId="18806"/>
    <cellStyle name="Normalny 3 2 9 3 3" xfId="18807"/>
    <cellStyle name="Normalny 3 2 9 3 4" xfId="18808"/>
    <cellStyle name="Normalny 3 2 9 4" xfId="18809"/>
    <cellStyle name="Normalny 3 2 9 4 2" xfId="18810"/>
    <cellStyle name="Normalny 3 2 9 4 2 2" xfId="18811"/>
    <cellStyle name="Normalny 3 2 9 4 2 3" xfId="18812"/>
    <cellStyle name="Normalny 3 2 9 4 3" xfId="18813"/>
    <cellStyle name="Normalny 3 2 9 4 4" xfId="18814"/>
    <cellStyle name="Normalny 3 2 9 5" xfId="18815"/>
    <cellStyle name="Normalny 3 2 9 5 2" xfId="18816"/>
    <cellStyle name="Normalny 3 2 9 5 2 2" xfId="18817"/>
    <cellStyle name="Normalny 3 2 9 5 2 3" xfId="18818"/>
    <cellStyle name="Normalny 3 2 9 5 3" xfId="18819"/>
    <cellStyle name="Normalny 3 2 9 5 4" xfId="18820"/>
    <cellStyle name="Normalny 3 2 9 6" xfId="18821"/>
    <cellStyle name="Normalny 3 2 9 6 2" xfId="18822"/>
    <cellStyle name="Normalny 3 2 9 6 3" xfId="18823"/>
    <cellStyle name="Normalny 3 2 9 7" xfId="18824"/>
    <cellStyle name="Normalny 3 2 9 8" xfId="18825"/>
    <cellStyle name="Normalny 3 3" xfId="18826"/>
    <cellStyle name="Normalny 3 3 10" xfId="18827"/>
    <cellStyle name="Normalny 3 3 10 2" xfId="18828"/>
    <cellStyle name="Normalny 3 3 10 2 2" xfId="18829"/>
    <cellStyle name="Normalny 3 3 10 2 2 2" xfId="18830"/>
    <cellStyle name="Normalny 3 3 10 2 2 3" xfId="18831"/>
    <cellStyle name="Normalny 3 3 10 2 3" xfId="18832"/>
    <cellStyle name="Normalny 3 3 10 2 4" xfId="18833"/>
    <cellStyle name="Normalny 3 3 10 3" xfId="18834"/>
    <cellStyle name="Normalny 3 3 10 3 2" xfId="18835"/>
    <cellStyle name="Normalny 3 3 10 3 3" xfId="18836"/>
    <cellStyle name="Normalny 3 3 10 4" xfId="18837"/>
    <cellStyle name="Normalny 3 3 10 5" xfId="18838"/>
    <cellStyle name="Normalny 3 3 11" xfId="18839"/>
    <cellStyle name="Normalny 3 3 11 2" xfId="18840"/>
    <cellStyle name="Normalny 3 3 11 2 2" xfId="18841"/>
    <cellStyle name="Normalny 3 3 11 2 3" xfId="18842"/>
    <cellStyle name="Normalny 3 3 11 3" xfId="18843"/>
    <cellStyle name="Normalny 3 3 11 4" xfId="18844"/>
    <cellStyle name="Normalny 3 3 12" xfId="18845"/>
    <cellStyle name="Normalny 3 3 12 2" xfId="18846"/>
    <cellStyle name="Normalny 3 3 12 2 2" xfId="18847"/>
    <cellStyle name="Normalny 3 3 12 2 3" xfId="18848"/>
    <cellStyle name="Normalny 3 3 12 3" xfId="18849"/>
    <cellStyle name="Normalny 3 3 12 4" xfId="18850"/>
    <cellStyle name="Normalny 3 3 13" xfId="18851"/>
    <cellStyle name="Normalny 3 3 13 2" xfId="18852"/>
    <cellStyle name="Normalny 3 3 13 2 2" xfId="18853"/>
    <cellStyle name="Normalny 3 3 13 2 3" xfId="18854"/>
    <cellStyle name="Normalny 3 3 13 3" xfId="18855"/>
    <cellStyle name="Normalny 3 3 13 4" xfId="18856"/>
    <cellStyle name="Normalny 3 3 14" xfId="18857"/>
    <cellStyle name="Normalny 3 3 14 2" xfId="18858"/>
    <cellStyle name="Normalny 3 3 14 3" xfId="18859"/>
    <cellStyle name="Normalny 3 3 15" xfId="18860"/>
    <cellStyle name="Normalny 3 3 15 2" xfId="18861"/>
    <cellStyle name="Normalny 3 3 15 3" xfId="18862"/>
    <cellStyle name="Normalny 3 3 16" xfId="18863"/>
    <cellStyle name="Normalny 3 3 17" xfId="18864"/>
    <cellStyle name="Normalny 3 3 18" xfId="18865"/>
    <cellStyle name="Normalny 3 3 19" xfId="18866"/>
    <cellStyle name="Normalny 3 3 2" xfId="18867"/>
    <cellStyle name="Normalny 3 3 2 10" xfId="18868"/>
    <cellStyle name="Normalny 3 3 2 10 2" xfId="18869"/>
    <cellStyle name="Normalny 3 3 2 10 2 2" xfId="18870"/>
    <cellStyle name="Normalny 3 3 2 10 2 3" xfId="18871"/>
    <cellStyle name="Normalny 3 3 2 10 3" xfId="18872"/>
    <cellStyle name="Normalny 3 3 2 10 4" xfId="18873"/>
    <cellStyle name="Normalny 3 3 2 11" xfId="18874"/>
    <cellStyle name="Normalny 3 3 2 11 2" xfId="18875"/>
    <cellStyle name="Normalny 3 3 2 11 3" xfId="18876"/>
    <cellStyle name="Normalny 3 3 2 12" xfId="18877"/>
    <cellStyle name="Normalny 3 3 2 12 2" xfId="18878"/>
    <cellStyle name="Normalny 3 3 2 12 3" xfId="18879"/>
    <cellStyle name="Normalny 3 3 2 13" xfId="18880"/>
    <cellStyle name="Normalny 3 3 2 14" xfId="18881"/>
    <cellStyle name="Normalny 3 3 2 15" xfId="18882"/>
    <cellStyle name="Normalny 3 3 2 2" xfId="18883"/>
    <cellStyle name="Normalny 3 3 2 2 10" xfId="18884"/>
    <cellStyle name="Normalny 3 3 2 2 11" xfId="18885"/>
    <cellStyle name="Normalny 3 3 2 2 2" xfId="18886"/>
    <cellStyle name="Normalny 3 3 2 2 2 2" xfId="18887"/>
    <cellStyle name="Normalny 3 3 2 2 2 2 2" xfId="18888"/>
    <cellStyle name="Normalny 3 3 2 2 2 2 2 2" xfId="18889"/>
    <cellStyle name="Normalny 3 3 2 2 2 2 2 2 2" xfId="18890"/>
    <cellStyle name="Normalny 3 3 2 2 2 2 2 2 3" xfId="18891"/>
    <cellStyle name="Normalny 3 3 2 2 2 2 2 3" xfId="18892"/>
    <cellStyle name="Normalny 3 3 2 2 2 2 2 4" xfId="18893"/>
    <cellStyle name="Normalny 3 3 2 2 2 2 3" xfId="18894"/>
    <cellStyle name="Normalny 3 3 2 2 2 2 3 2" xfId="18895"/>
    <cellStyle name="Normalny 3 3 2 2 2 2 3 2 2" xfId="18896"/>
    <cellStyle name="Normalny 3 3 2 2 2 2 3 2 3" xfId="18897"/>
    <cellStyle name="Normalny 3 3 2 2 2 2 3 3" xfId="18898"/>
    <cellStyle name="Normalny 3 3 2 2 2 2 3 4" xfId="18899"/>
    <cellStyle name="Normalny 3 3 2 2 2 2 4" xfId="18900"/>
    <cellStyle name="Normalny 3 3 2 2 2 2 4 2" xfId="18901"/>
    <cellStyle name="Normalny 3 3 2 2 2 2 4 2 2" xfId="18902"/>
    <cellStyle name="Normalny 3 3 2 2 2 2 4 2 3" xfId="18903"/>
    <cellStyle name="Normalny 3 3 2 2 2 2 4 3" xfId="18904"/>
    <cellStyle name="Normalny 3 3 2 2 2 2 4 4" xfId="18905"/>
    <cellStyle name="Normalny 3 3 2 2 2 2 5" xfId="18906"/>
    <cellStyle name="Normalny 3 3 2 2 2 2 5 2" xfId="18907"/>
    <cellStyle name="Normalny 3 3 2 2 2 2 5 3" xfId="18908"/>
    <cellStyle name="Normalny 3 3 2 2 2 2 6" xfId="18909"/>
    <cellStyle name="Normalny 3 3 2 2 2 2 7" xfId="18910"/>
    <cellStyle name="Normalny 3 3 2 2 2 3" xfId="18911"/>
    <cellStyle name="Normalny 3 3 2 2 2 3 2" xfId="18912"/>
    <cellStyle name="Normalny 3 3 2 2 2 3 2 2" xfId="18913"/>
    <cellStyle name="Normalny 3 3 2 2 2 3 2 2 2" xfId="18914"/>
    <cellStyle name="Normalny 3 3 2 2 2 3 2 2 3" xfId="18915"/>
    <cellStyle name="Normalny 3 3 2 2 2 3 2 3" xfId="18916"/>
    <cellStyle name="Normalny 3 3 2 2 2 3 2 4" xfId="18917"/>
    <cellStyle name="Normalny 3 3 2 2 2 3 3" xfId="18918"/>
    <cellStyle name="Normalny 3 3 2 2 2 3 3 2" xfId="18919"/>
    <cellStyle name="Normalny 3 3 2 2 2 3 3 2 2" xfId="18920"/>
    <cellStyle name="Normalny 3 3 2 2 2 3 3 2 3" xfId="18921"/>
    <cellStyle name="Normalny 3 3 2 2 2 3 3 3" xfId="18922"/>
    <cellStyle name="Normalny 3 3 2 2 2 3 3 4" xfId="18923"/>
    <cellStyle name="Normalny 3 3 2 2 2 3 4" xfId="18924"/>
    <cellStyle name="Normalny 3 3 2 2 2 3 4 2" xfId="18925"/>
    <cellStyle name="Normalny 3 3 2 2 2 3 4 2 2" xfId="18926"/>
    <cellStyle name="Normalny 3 3 2 2 2 3 4 2 3" xfId="18927"/>
    <cellStyle name="Normalny 3 3 2 2 2 3 4 3" xfId="18928"/>
    <cellStyle name="Normalny 3 3 2 2 2 3 4 4" xfId="18929"/>
    <cellStyle name="Normalny 3 3 2 2 2 3 5" xfId="18930"/>
    <cellStyle name="Normalny 3 3 2 2 2 3 5 2" xfId="18931"/>
    <cellStyle name="Normalny 3 3 2 2 2 3 5 3" xfId="18932"/>
    <cellStyle name="Normalny 3 3 2 2 2 3 6" xfId="18933"/>
    <cellStyle name="Normalny 3 3 2 2 2 3 7" xfId="18934"/>
    <cellStyle name="Normalny 3 3 2 2 2 4" xfId="18935"/>
    <cellStyle name="Normalny 3 3 2 2 2 4 2" xfId="18936"/>
    <cellStyle name="Normalny 3 3 2 2 2 4 2 2" xfId="18937"/>
    <cellStyle name="Normalny 3 3 2 2 2 4 2 3" xfId="18938"/>
    <cellStyle name="Normalny 3 3 2 2 2 4 3" xfId="18939"/>
    <cellStyle name="Normalny 3 3 2 2 2 4 4" xfId="18940"/>
    <cellStyle name="Normalny 3 3 2 2 2 5" xfId="18941"/>
    <cellStyle name="Normalny 3 3 2 2 2 5 2" xfId="18942"/>
    <cellStyle name="Normalny 3 3 2 2 2 5 2 2" xfId="18943"/>
    <cellStyle name="Normalny 3 3 2 2 2 5 2 3" xfId="18944"/>
    <cellStyle name="Normalny 3 3 2 2 2 5 3" xfId="18945"/>
    <cellStyle name="Normalny 3 3 2 2 2 5 4" xfId="18946"/>
    <cellStyle name="Normalny 3 3 2 2 2 6" xfId="18947"/>
    <cellStyle name="Normalny 3 3 2 2 2 6 2" xfId="18948"/>
    <cellStyle name="Normalny 3 3 2 2 2 6 2 2" xfId="18949"/>
    <cellStyle name="Normalny 3 3 2 2 2 6 2 3" xfId="18950"/>
    <cellStyle name="Normalny 3 3 2 2 2 6 3" xfId="18951"/>
    <cellStyle name="Normalny 3 3 2 2 2 6 4" xfId="18952"/>
    <cellStyle name="Normalny 3 3 2 2 2 7" xfId="18953"/>
    <cellStyle name="Normalny 3 3 2 2 2 7 2" xfId="18954"/>
    <cellStyle name="Normalny 3 3 2 2 2 7 3" xfId="18955"/>
    <cellStyle name="Normalny 3 3 2 2 2 8" xfId="18956"/>
    <cellStyle name="Normalny 3 3 2 2 2 9" xfId="18957"/>
    <cellStyle name="Normalny 3 3 2 2 3" xfId="18958"/>
    <cellStyle name="Normalny 3 3 2 2 3 2" xfId="18959"/>
    <cellStyle name="Normalny 3 3 2 2 3 2 2" xfId="18960"/>
    <cellStyle name="Normalny 3 3 2 2 3 2 2 2" xfId="18961"/>
    <cellStyle name="Normalny 3 3 2 2 3 2 2 3" xfId="18962"/>
    <cellStyle name="Normalny 3 3 2 2 3 2 3" xfId="18963"/>
    <cellStyle name="Normalny 3 3 2 2 3 2 4" xfId="18964"/>
    <cellStyle name="Normalny 3 3 2 2 3 3" xfId="18965"/>
    <cellStyle name="Normalny 3 3 2 2 3 3 2" xfId="18966"/>
    <cellStyle name="Normalny 3 3 2 2 3 3 2 2" xfId="18967"/>
    <cellStyle name="Normalny 3 3 2 2 3 3 2 3" xfId="18968"/>
    <cellStyle name="Normalny 3 3 2 2 3 3 3" xfId="18969"/>
    <cellStyle name="Normalny 3 3 2 2 3 3 4" xfId="18970"/>
    <cellStyle name="Normalny 3 3 2 2 3 4" xfId="18971"/>
    <cellStyle name="Normalny 3 3 2 2 3 4 2" xfId="18972"/>
    <cellStyle name="Normalny 3 3 2 2 3 4 2 2" xfId="18973"/>
    <cellStyle name="Normalny 3 3 2 2 3 4 2 3" xfId="18974"/>
    <cellStyle name="Normalny 3 3 2 2 3 4 3" xfId="18975"/>
    <cellStyle name="Normalny 3 3 2 2 3 4 4" xfId="18976"/>
    <cellStyle name="Normalny 3 3 2 2 3 5" xfId="18977"/>
    <cellStyle name="Normalny 3 3 2 2 3 5 2" xfId="18978"/>
    <cellStyle name="Normalny 3 3 2 2 3 5 3" xfId="18979"/>
    <cellStyle name="Normalny 3 3 2 2 3 6" xfId="18980"/>
    <cellStyle name="Normalny 3 3 2 2 3 7" xfId="18981"/>
    <cellStyle name="Normalny 3 3 2 2 4" xfId="18982"/>
    <cellStyle name="Normalny 3 3 2 2 4 2" xfId="18983"/>
    <cellStyle name="Normalny 3 3 2 2 4 2 2" xfId="18984"/>
    <cellStyle name="Normalny 3 3 2 2 4 2 2 2" xfId="18985"/>
    <cellStyle name="Normalny 3 3 2 2 4 2 2 3" xfId="18986"/>
    <cellStyle name="Normalny 3 3 2 2 4 2 3" xfId="18987"/>
    <cellStyle name="Normalny 3 3 2 2 4 2 4" xfId="18988"/>
    <cellStyle name="Normalny 3 3 2 2 4 3" xfId="18989"/>
    <cellStyle name="Normalny 3 3 2 2 4 3 2" xfId="18990"/>
    <cellStyle name="Normalny 3 3 2 2 4 3 2 2" xfId="18991"/>
    <cellStyle name="Normalny 3 3 2 2 4 3 2 3" xfId="18992"/>
    <cellStyle name="Normalny 3 3 2 2 4 3 3" xfId="18993"/>
    <cellStyle name="Normalny 3 3 2 2 4 3 4" xfId="18994"/>
    <cellStyle name="Normalny 3 3 2 2 4 4" xfId="18995"/>
    <cellStyle name="Normalny 3 3 2 2 4 4 2" xfId="18996"/>
    <cellStyle name="Normalny 3 3 2 2 4 4 2 2" xfId="18997"/>
    <cellStyle name="Normalny 3 3 2 2 4 4 2 3" xfId="18998"/>
    <cellStyle name="Normalny 3 3 2 2 4 4 3" xfId="18999"/>
    <cellStyle name="Normalny 3 3 2 2 4 4 4" xfId="19000"/>
    <cellStyle name="Normalny 3 3 2 2 4 5" xfId="19001"/>
    <cellStyle name="Normalny 3 3 2 2 4 5 2" xfId="19002"/>
    <cellStyle name="Normalny 3 3 2 2 4 5 3" xfId="19003"/>
    <cellStyle name="Normalny 3 3 2 2 4 6" xfId="19004"/>
    <cellStyle name="Normalny 3 3 2 2 4 7" xfId="19005"/>
    <cellStyle name="Normalny 3 3 2 2 5" xfId="19006"/>
    <cellStyle name="Normalny 3 3 2 2 5 2" xfId="19007"/>
    <cellStyle name="Normalny 3 3 2 2 5 2 2" xfId="19008"/>
    <cellStyle name="Normalny 3 3 2 2 5 2 2 2" xfId="19009"/>
    <cellStyle name="Normalny 3 3 2 2 5 2 2 3" xfId="19010"/>
    <cellStyle name="Normalny 3 3 2 2 5 2 3" xfId="19011"/>
    <cellStyle name="Normalny 3 3 2 2 5 2 4" xfId="19012"/>
    <cellStyle name="Normalny 3 3 2 2 5 3" xfId="19013"/>
    <cellStyle name="Normalny 3 3 2 2 5 3 2" xfId="19014"/>
    <cellStyle name="Normalny 3 3 2 2 5 3 3" xfId="19015"/>
    <cellStyle name="Normalny 3 3 2 2 5 4" xfId="19016"/>
    <cellStyle name="Normalny 3 3 2 2 5 5" xfId="19017"/>
    <cellStyle name="Normalny 3 3 2 2 6" xfId="19018"/>
    <cellStyle name="Normalny 3 3 2 2 6 2" xfId="19019"/>
    <cellStyle name="Normalny 3 3 2 2 6 2 2" xfId="19020"/>
    <cellStyle name="Normalny 3 3 2 2 6 2 3" xfId="19021"/>
    <cellStyle name="Normalny 3 3 2 2 6 3" xfId="19022"/>
    <cellStyle name="Normalny 3 3 2 2 6 4" xfId="19023"/>
    <cellStyle name="Normalny 3 3 2 2 7" xfId="19024"/>
    <cellStyle name="Normalny 3 3 2 2 7 2" xfId="19025"/>
    <cellStyle name="Normalny 3 3 2 2 7 2 2" xfId="19026"/>
    <cellStyle name="Normalny 3 3 2 2 7 2 3" xfId="19027"/>
    <cellStyle name="Normalny 3 3 2 2 7 3" xfId="19028"/>
    <cellStyle name="Normalny 3 3 2 2 7 4" xfId="19029"/>
    <cellStyle name="Normalny 3 3 2 2 8" xfId="19030"/>
    <cellStyle name="Normalny 3 3 2 2 8 2" xfId="19031"/>
    <cellStyle name="Normalny 3 3 2 2 8 2 2" xfId="19032"/>
    <cellStyle name="Normalny 3 3 2 2 8 2 3" xfId="19033"/>
    <cellStyle name="Normalny 3 3 2 2 8 3" xfId="19034"/>
    <cellStyle name="Normalny 3 3 2 2 8 4" xfId="19035"/>
    <cellStyle name="Normalny 3 3 2 2 9" xfId="19036"/>
    <cellStyle name="Normalny 3 3 2 2 9 2" xfId="19037"/>
    <cellStyle name="Normalny 3 3 2 2 9 3" xfId="19038"/>
    <cellStyle name="Normalny 3 3 2 3" xfId="19039"/>
    <cellStyle name="Normalny 3 3 2 3 10" xfId="19040"/>
    <cellStyle name="Normalny 3 3 2 3 2" xfId="19041"/>
    <cellStyle name="Normalny 3 3 2 3 2 2" xfId="19042"/>
    <cellStyle name="Normalny 3 3 2 3 2 2 2" xfId="19043"/>
    <cellStyle name="Normalny 3 3 2 3 2 2 2 2" xfId="19044"/>
    <cellStyle name="Normalny 3 3 2 3 2 2 2 3" xfId="19045"/>
    <cellStyle name="Normalny 3 3 2 3 2 2 3" xfId="19046"/>
    <cellStyle name="Normalny 3 3 2 3 2 2 4" xfId="19047"/>
    <cellStyle name="Normalny 3 3 2 3 2 3" xfId="19048"/>
    <cellStyle name="Normalny 3 3 2 3 2 3 2" xfId="19049"/>
    <cellStyle name="Normalny 3 3 2 3 2 3 2 2" xfId="19050"/>
    <cellStyle name="Normalny 3 3 2 3 2 3 2 3" xfId="19051"/>
    <cellStyle name="Normalny 3 3 2 3 2 3 3" xfId="19052"/>
    <cellStyle name="Normalny 3 3 2 3 2 3 4" xfId="19053"/>
    <cellStyle name="Normalny 3 3 2 3 2 4" xfId="19054"/>
    <cellStyle name="Normalny 3 3 2 3 2 4 2" xfId="19055"/>
    <cellStyle name="Normalny 3 3 2 3 2 4 2 2" xfId="19056"/>
    <cellStyle name="Normalny 3 3 2 3 2 4 2 3" xfId="19057"/>
    <cellStyle name="Normalny 3 3 2 3 2 4 3" xfId="19058"/>
    <cellStyle name="Normalny 3 3 2 3 2 4 4" xfId="19059"/>
    <cellStyle name="Normalny 3 3 2 3 2 5" xfId="19060"/>
    <cellStyle name="Normalny 3 3 2 3 2 5 2" xfId="19061"/>
    <cellStyle name="Normalny 3 3 2 3 2 5 3" xfId="19062"/>
    <cellStyle name="Normalny 3 3 2 3 2 6" xfId="19063"/>
    <cellStyle name="Normalny 3 3 2 3 2 7" xfId="19064"/>
    <cellStyle name="Normalny 3 3 2 3 3" xfId="19065"/>
    <cellStyle name="Normalny 3 3 2 3 3 2" xfId="19066"/>
    <cellStyle name="Normalny 3 3 2 3 3 2 2" xfId="19067"/>
    <cellStyle name="Normalny 3 3 2 3 3 2 2 2" xfId="19068"/>
    <cellStyle name="Normalny 3 3 2 3 3 2 2 3" xfId="19069"/>
    <cellStyle name="Normalny 3 3 2 3 3 2 3" xfId="19070"/>
    <cellStyle name="Normalny 3 3 2 3 3 2 4" xfId="19071"/>
    <cellStyle name="Normalny 3 3 2 3 3 3" xfId="19072"/>
    <cellStyle name="Normalny 3 3 2 3 3 3 2" xfId="19073"/>
    <cellStyle name="Normalny 3 3 2 3 3 3 2 2" xfId="19074"/>
    <cellStyle name="Normalny 3 3 2 3 3 3 2 3" xfId="19075"/>
    <cellStyle name="Normalny 3 3 2 3 3 3 3" xfId="19076"/>
    <cellStyle name="Normalny 3 3 2 3 3 3 4" xfId="19077"/>
    <cellStyle name="Normalny 3 3 2 3 3 4" xfId="19078"/>
    <cellStyle name="Normalny 3 3 2 3 3 4 2" xfId="19079"/>
    <cellStyle name="Normalny 3 3 2 3 3 4 2 2" xfId="19080"/>
    <cellStyle name="Normalny 3 3 2 3 3 4 2 3" xfId="19081"/>
    <cellStyle name="Normalny 3 3 2 3 3 4 3" xfId="19082"/>
    <cellStyle name="Normalny 3 3 2 3 3 4 4" xfId="19083"/>
    <cellStyle name="Normalny 3 3 2 3 3 5" xfId="19084"/>
    <cellStyle name="Normalny 3 3 2 3 3 5 2" xfId="19085"/>
    <cellStyle name="Normalny 3 3 2 3 3 5 3" xfId="19086"/>
    <cellStyle name="Normalny 3 3 2 3 3 6" xfId="19087"/>
    <cellStyle name="Normalny 3 3 2 3 3 7" xfId="19088"/>
    <cellStyle name="Normalny 3 3 2 3 4" xfId="19089"/>
    <cellStyle name="Normalny 3 3 2 3 4 2" xfId="19090"/>
    <cellStyle name="Normalny 3 3 2 3 4 2 2" xfId="19091"/>
    <cellStyle name="Normalny 3 3 2 3 4 2 2 2" xfId="19092"/>
    <cellStyle name="Normalny 3 3 2 3 4 2 2 3" xfId="19093"/>
    <cellStyle name="Normalny 3 3 2 3 4 2 3" xfId="19094"/>
    <cellStyle name="Normalny 3 3 2 3 4 2 4" xfId="19095"/>
    <cellStyle name="Normalny 3 3 2 3 4 3" xfId="19096"/>
    <cellStyle name="Normalny 3 3 2 3 4 3 2" xfId="19097"/>
    <cellStyle name="Normalny 3 3 2 3 4 3 3" xfId="19098"/>
    <cellStyle name="Normalny 3 3 2 3 4 4" xfId="19099"/>
    <cellStyle name="Normalny 3 3 2 3 4 5" xfId="19100"/>
    <cellStyle name="Normalny 3 3 2 3 5" xfId="19101"/>
    <cellStyle name="Normalny 3 3 2 3 5 2" xfId="19102"/>
    <cellStyle name="Normalny 3 3 2 3 5 2 2" xfId="19103"/>
    <cellStyle name="Normalny 3 3 2 3 5 2 3" xfId="19104"/>
    <cellStyle name="Normalny 3 3 2 3 5 3" xfId="19105"/>
    <cellStyle name="Normalny 3 3 2 3 5 4" xfId="19106"/>
    <cellStyle name="Normalny 3 3 2 3 6" xfId="19107"/>
    <cellStyle name="Normalny 3 3 2 3 6 2" xfId="19108"/>
    <cellStyle name="Normalny 3 3 2 3 6 2 2" xfId="19109"/>
    <cellStyle name="Normalny 3 3 2 3 6 2 3" xfId="19110"/>
    <cellStyle name="Normalny 3 3 2 3 6 3" xfId="19111"/>
    <cellStyle name="Normalny 3 3 2 3 6 4" xfId="19112"/>
    <cellStyle name="Normalny 3 3 2 3 7" xfId="19113"/>
    <cellStyle name="Normalny 3 3 2 3 7 2" xfId="19114"/>
    <cellStyle name="Normalny 3 3 2 3 7 2 2" xfId="19115"/>
    <cellStyle name="Normalny 3 3 2 3 7 2 3" xfId="19116"/>
    <cellStyle name="Normalny 3 3 2 3 7 3" xfId="19117"/>
    <cellStyle name="Normalny 3 3 2 3 7 4" xfId="19118"/>
    <cellStyle name="Normalny 3 3 2 3 8" xfId="19119"/>
    <cellStyle name="Normalny 3 3 2 3 8 2" xfId="19120"/>
    <cellStyle name="Normalny 3 3 2 3 8 3" xfId="19121"/>
    <cellStyle name="Normalny 3 3 2 3 9" xfId="19122"/>
    <cellStyle name="Normalny 3 3 2 4" xfId="19123"/>
    <cellStyle name="Normalny 3 3 2 4 2" xfId="19124"/>
    <cellStyle name="Normalny 3 3 2 4 2 2" xfId="19125"/>
    <cellStyle name="Normalny 3 3 2 4 2 2 2" xfId="19126"/>
    <cellStyle name="Normalny 3 3 2 4 2 2 2 2" xfId="19127"/>
    <cellStyle name="Normalny 3 3 2 4 2 2 2 3" xfId="19128"/>
    <cellStyle name="Normalny 3 3 2 4 2 2 3" xfId="19129"/>
    <cellStyle name="Normalny 3 3 2 4 2 2 4" xfId="19130"/>
    <cellStyle name="Normalny 3 3 2 4 2 3" xfId="19131"/>
    <cellStyle name="Normalny 3 3 2 4 2 3 2" xfId="19132"/>
    <cellStyle name="Normalny 3 3 2 4 2 3 2 2" xfId="19133"/>
    <cellStyle name="Normalny 3 3 2 4 2 3 2 3" xfId="19134"/>
    <cellStyle name="Normalny 3 3 2 4 2 3 3" xfId="19135"/>
    <cellStyle name="Normalny 3 3 2 4 2 3 4" xfId="19136"/>
    <cellStyle name="Normalny 3 3 2 4 2 4" xfId="19137"/>
    <cellStyle name="Normalny 3 3 2 4 2 4 2" xfId="19138"/>
    <cellStyle name="Normalny 3 3 2 4 2 4 2 2" xfId="19139"/>
    <cellStyle name="Normalny 3 3 2 4 2 4 2 3" xfId="19140"/>
    <cellStyle name="Normalny 3 3 2 4 2 4 3" xfId="19141"/>
    <cellStyle name="Normalny 3 3 2 4 2 4 4" xfId="19142"/>
    <cellStyle name="Normalny 3 3 2 4 2 5" xfId="19143"/>
    <cellStyle name="Normalny 3 3 2 4 2 5 2" xfId="19144"/>
    <cellStyle name="Normalny 3 3 2 4 2 5 3" xfId="19145"/>
    <cellStyle name="Normalny 3 3 2 4 2 6" xfId="19146"/>
    <cellStyle name="Normalny 3 3 2 4 2 7" xfId="19147"/>
    <cellStyle name="Normalny 3 3 2 4 3" xfId="19148"/>
    <cellStyle name="Normalny 3 3 2 4 3 2" xfId="19149"/>
    <cellStyle name="Normalny 3 3 2 4 3 2 2" xfId="19150"/>
    <cellStyle name="Normalny 3 3 2 4 3 2 2 2" xfId="19151"/>
    <cellStyle name="Normalny 3 3 2 4 3 2 2 3" xfId="19152"/>
    <cellStyle name="Normalny 3 3 2 4 3 2 3" xfId="19153"/>
    <cellStyle name="Normalny 3 3 2 4 3 2 4" xfId="19154"/>
    <cellStyle name="Normalny 3 3 2 4 3 3" xfId="19155"/>
    <cellStyle name="Normalny 3 3 2 4 3 3 2" xfId="19156"/>
    <cellStyle name="Normalny 3 3 2 4 3 3 2 2" xfId="19157"/>
    <cellStyle name="Normalny 3 3 2 4 3 3 2 3" xfId="19158"/>
    <cellStyle name="Normalny 3 3 2 4 3 3 3" xfId="19159"/>
    <cellStyle name="Normalny 3 3 2 4 3 3 4" xfId="19160"/>
    <cellStyle name="Normalny 3 3 2 4 3 4" xfId="19161"/>
    <cellStyle name="Normalny 3 3 2 4 3 4 2" xfId="19162"/>
    <cellStyle name="Normalny 3 3 2 4 3 4 2 2" xfId="19163"/>
    <cellStyle name="Normalny 3 3 2 4 3 4 2 3" xfId="19164"/>
    <cellStyle name="Normalny 3 3 2 4 3 4 3" xfId="19165"/>
    <cellStyle name="Normalny 3 3 2 4 3 4 4" xfId="19166"/>
    <cellStyle name="Normalny 3 3 2 4 3 5" xfId="19167"/>
    <cellStyle name="Normalny 3 3 2 4 3 5 2" xfId="19168"/>
    <cellStyle name="Normalny 3 3 2 4 3 5 3" xfId="19169"/>
    <cellStyle name="Normalny 3 3 2 4 3 6" xfId="19170"/>
    <cellStyle name="Normalny 3 3 2 4 3 7" xfId="19171"/>
    <cellStyle name="Normalny 3 3 2 4 4" xfId="19172"/>
    <cellStyle name="Normalny 3 3 2 4 4 2" xfId="19173"/>
    <cellStyle name="Normalny 3 3 2 4 4 2 2" xfId="19174"/>
    <cellStyle name="Normalny 3 3 2 4 4 2 3" xfId="19175"/>
    <cellStyle name="Normalny 3 3 2 4 4 3" xfId="19176"/>
    <cellStyle name="Normalny 3 3 2 4 4 4" xfId="19177"/>
    <cellStyle name="Normalny 3 3 2 4 5" xfId="19178"/>
    <cellStyle name="Normalny 3 3 2 4 5 2" xfId="19179"/>
    <cellStyle name="Normalny 3 3 2 4 5 2 2" xfId="19180"/>
    <cellStyle name="Normalny 3 3 2 4 5 2 3" xfId="19181"/>
    <cellStyle name="Normalny 3 3 2 4 5 3" xfId="19182"/>
    <cellStyle name="Normalny 3 3 2 4 5 4" xfId="19183"/>
    <cellStyle name="Normalny 3 3 2 4 6" xfId="19184"/>
    <cellStyle name="Normalny 3 3 2 4 6 2" xfId="19185"/>
    <cellStyle name="Normalny 3 3 2 4 6 2 2" xfId="19186"/>
    <cellStyle name="Normalny 3 3 2 4 6 2 3" xfId="19187"/>
    <cellStyle name="Normalny 3 3 2 4 6 3" xfId="19188"/>
    <cellStyle name="Normalny 3 3 2 4 6 4" xfId="19189"/>
    <cellStyle name="Normalny 3 3 2 4 7" xfId="19190"/>
    <cellStyle name="Normalny 3 3 2 4 7 2" xfId="19191"/>
    <cellStyle name="Normalny 3 3 2 4 7 3" xfId="19192"/>
    <cellStyle name="Normalny 3 3 2 4 8" xfId="19193"/>
    <cellStyle name="Normalny 3 3 2 4 9" xfId="19194"/>
    <cellStyle name="Normalny 3 3 2 5" xfId="19195"/>
    <cellStyle name="Normalny 3 3 2 5 2" xfId="19196"/>
    <cellStyle name="Normalny 3 3 2 5 2 2" xfId="19197"/>
    <cellStyle name="Normalny 3 3 2 5 2 2 2" xfId="19198"/>
    <cellStyle name="Normalny 3 3 2 5 2 2 3" xfId="19199"/>
    <cellStyle name="Normalny 3 3 2 5 2 3" xfId="19200"/>
    <cellStyle name="Normalny 3 3 2 5 2 4" xfId="19201"/>
    <cellStyle name="Normalny 3 3 2 5 3" xfId="19202"/>
    <cellStyle name="Normalny 3 3 2 5 3 2" xfId="19203"/>
    <cellStyle name="Normalny 3 3 2 5 3 2 2" xfId="19204"/>
    <cellStyle name="Normalny 3 3 2 5 3 2 3" xfId="19205"/>
    <cellStyle name="Normalny 3 3 2 5 3 3" xfId="19206"/>
    <cellStyle name="Normalny 3 3 2 5 3 4" xfId="19207"/>
    <cellStyle name="Normalny 3 3 2 5 4" xfId="19208"/>
    <cellStyle name="Normalny 3 3 2 5 4 2" xfId="19209"/>
    <cellStyle name="Normalny 3 3 2 5 4 2 2" xfId="19210"/>
    <cellStyle name="Normalny 3 3 2 5 4 2 3" xfId="19211"/>
    <cellStyle name="Normalny 3 3 2 5 4 3" xfId="19212"/>
    <cellStyle name="Normalny 3 3 2 5 4 4" xfId="19213"/>
    <cellStyle name="Normalny 3 3 2 5 5" xfId="19214"/>
    <cellStyle name="Normalny 3 3 2 5 5 2" xfId="19215"/>
    <cellStyle name="Normalny 3 3 2 5 5 3" xfId="19216"/>
    <cellStyle name="Normalny 3 3 2 5 6" xfId="19217"/>
    <cellStyle name="Normalny 3 3 2 5 7" xfId="19218"/>
    <cellStyle name="Normalny 3 3 2 6" xfId="19219"/>
    <cellStyle name="Normalny 3 3 2 6 2" xfId="19220"/>
    <cellStyle name="Normalny 3 3 2 6 2 2" xfId="19221"/>
    <cellStyle name="Normalny 3 3 2 6 2 2 2" xfId="19222"/>
    <cellStyle name="Normalny 3 3 2 6 2 2 3" xfId="19223"/>
    <cellStyle name="Normalny 3 3 2 6 2 3" xfId="19224"/>
    <cellStyle name="Normalny 3 3 2 6 2 4" xfId="19225"/>
    <cellStyle name="Normalny 3 3 2 6 3" xfId="19226"/>
    <cellStyle name="Normalny 3 3 2 6 3 2" xfId="19227"/>
    <cellStyle name="Normalny 3 3 2 6 3 2 2" xfId="19228"/>
    <cellStyle name="Normalny 3 3 2 6 3 2 3" xfId="19229"/>
    <cellStyle name="Normalny 3 3 2 6 3 3" xfId="19230"/>
    <cellStyle name="Normalny 3 3 2 6 3 4" xfId="19231"/>
    <cellStyle name="Normalny 3 3 2 6 4" xfId="19232"/>
    <cellStyle name="Normalny 3 3 2 6 4 2" xfId="19233"/>
    <cellStyle name="Normalny 3 3 2 6 4 2 2" xfId="19234"/>
    <cellStyle name="Normalny 3 3 2 6 4 2 3" xfId="19235"/>
    <cellStyle name="Normalny 3 3 2 6 4 3" xfId="19236"/>
    <cellStyle name="Normalny 3 3 2 6 4 4" xfId="19237"/>
    <cellStyle name="Normalny 3 3 2 6 5" xfId="19238"/>
    <cellStyle name="Normalny 3 3 2 6 5 2" xfId="19239"/>
    <cellStyle name="Normalny 3 3 2 6 5 3" xfId="19240"/>
    <cellStyle name="Normalny 3 3 2 6 6" xfId="19241"/>
    <cellStyle name="Normalny 3 3 2 6 7" xfId="19242"/>
    <cellStyle name="Normalny 3 3 2 7" xfId="19243"/>
    <cellStyle name="Normalny 3 3 2 7 2" xfId="19244"/>
    <cellStyle name="Normalny 3 3 2 7 2 2" xfId="19245"/>
    <cellStyle name="Normalny 3 3 2 7 2 2 2" xfId="19246"/>
    <cellStyle name="Normalny 3 3 2 7 2 2 3" xfId="19247"/>
    <cellStyle name="Normalny 3 3 2 7 2 3" xfId="19248"/>
    <cellStyle name="Normalny 3 3 2 7 2 4" xfId="19249"/>
    <cellStyle name="Normalny 3 3 2 7 3" xfId="19250"/>
    <cellStyle name="Normalny 3 3 2 7 3 2" xfId="19251"/>
    <cellStyle name="Normalny 3 3 2 7 3 3" xfId="19252"/>
    <cellStyle name="Normalny 3 3 2 7 4" xfId="19253"/>
    <cellStyle name="Normalny 3 3 2 7 5" xfId="19254"/>
    <cellStyle name="Normalny 3 3 2 8" xfId="19255"/>
    <cellStyle name="Normalny 3 3 2 8 2" xfId="19256"/>
    <cellStyle name="Normalny 3 3 2 8 2 2" xfId="19257"/>
    <cellStyle name="Normalny 3 3 2 8 2 3" xfId="19258"/>
    <cellStyle name="Normalny 3 3 2 8 3" xfId="19259"/>
    <cellStyle name="Normalny 3 3 2 8 4" xfId="19260"/>
    <cellStyle name="Normalny 3 3 2 9" xfId="19261"/>
    <cellStyle name="Normalny 3 3 2 9 2" xfId="19262"/>
    <cellStyle name="Normalny 3 3 2 9 2 2" xfId="19263"/>
    <cellStyle name="Normalny 3 3 2 9 2 3" xfId="19264"/>
    <cellStyle name="Normalny 3 3 2 9 3" xfId="19265"/>
    <cellStyle name="Normalny 3 3 2 9 4" xfId="19266"/>
    <cellStyle name="Normalny 3 3 20" xfId="19267"/>
    <cellStyle name="Normalny 3 3 3" xfId="19268"/>
    <cellStyle name="Normalny 3 3 3 10" xfId="19269"/>
    <cellStyle name="Normalny 3 3 3 11" xfId="19270"/>
    <cellStyle name="Normalny 3 3 3 2" xfId="19271"/>
    <cellStyle name="Normalny 3 3 3 2 10" xfId="19272"/>
    <cellStyle name="Normalny 3 3 3 2 2" xfId="19273"/>
    <cellStyle name="Normalny 3 3 3 2 2 2" xfId="19274"/>
    <cellStyle name="Normalny 3 3 3 2 2 2 2" xfId="19275"/>
    <cellStyle name="Normalny 3 3 3 2 2 2 2 2" xfId="19276"/>
    <cellStyle name="Normalny 3 3 3 2 2 2 2 3" xfId="19277"/>
    <cellStyle name="Normalny 3 3 3 2 2 2 3" xfId="19278"/>
    <cellStyle name="Normalny 3 3 3 2 2 2 4" xfId="19279"/>
    <cellStyle name="Normalny 3 3 3 2 2 3" xfId="19280"/>
    <cellStyle name="Normalny 3 3 3 2 2 3 2" xfId="19281"/>
    <cellStyle name="Normalny 3 3 3 2 2 3 2 2" xfId="19282"/>
    <cellStyle name="Normalny 3 3 3 2 2 3 2 3" xfId="19283"/>
    <cellStyle name="Normalny 3 3 3 2 2 3 3" xfId="19284"/>
    <cellStyle name="Normalny 3 3 3 2 2 3 4" xfId="19285"/>
    <cellStyle name="Normalny 3 3 3 2 2 4" xfId="19286"/>
    <cellStyle name="Normalny 3 3 3 2 2 4 2" xfId="19287"/>
    <cellStyle name="Normalny 3 3 3 2 2 4 2 2" xfId="19288"/>
    <cellStyle name="Normalny 3 3 3 2 2 4 2 3" xfId="19289"/>
    <cellStyle name="Normalny 3 3 3 2 2 4 3" xfId="19290"/>
    <cellStyle name="Normalny 3 3 3 2 2 4 4" xfId="19291"/>
    <cellStyle name="Normalny 3 3 3 2 2 5" xfId="19292"/>
    <cellStyle name="Normalny 3 3 3 2 2 5 2" xfId="19293"/>
    <cellStyle name="Normalny 3 3 3 2 2 5 3" xfId="19294"/>
    <cellStyle name="Normalny 3 3 3 2 2 6" xfId="19295"/>
    <cellStyle name="Normalny 3 3 3 2 2 7" xfId="19296"/>
    <cellStyle name="Normalny 3 3 3 2 3" xfId="19297"/>
    <cellStyle name="Normalny 3 3 3 2 3 2" xfId="19298"/>
    <cellStyle name="Normalny 3 3 3 2 3 2 2" xfId="19299"/>
    <cellStyle name="Normalny 3 3 3 2 3 2 2 2" xfId="19300"/>
    <cellStyle name="Normalny 3 3 3 2 3 2 2 3" xfId="19301"/>
    <cellStyle name="Normalny 3 3 3 2 3 2 3" xfId="19302"/>
    <cellStyle name="Normalny 3 3 3 2 3 2 4" xfId="19303"/>
    <cellStyle name="Normalny 3 3 3 2 3 3" xfId="19304"/>
    <cellStyle name="Normalny 3 3 3 2 3 3 2" xfId="19305"/>
    <cellStyle name="Normalny 3 3 3 2 3 3 2 2" xfId="19306"/>
    <cellStyle name="Normalny 3 3 3 2 3 3 2 3" xfId="19307"/>
    <cellStyle name="Normalny 3 3 3 2 3 3 3" xfId="19308"/>
    <cellStyle name="Normalny 3 3 3 2 3 3 4" xfId="19309"/>
    <cellStyle name="Normalny 3 3 3 2 3 4" xfId="19310"/>
    <cellStyle name="Normalny 3 3 3 2 3 4 2" xfId="19311"/>
    <cellStyle name="Normalny 3 3 3 2 3 4 2 2" xfId="19312"/>
    <cellStyle name="Normalny 3 3 3 2 3 4 2 3" xfId="19313"/>
    <cellStyle name="Normalny 3 3 3 2 3 4 3" xfId="19314"/>
    <cellStyle name="Normalny 3 3 3 2 3 4 4" xfId="19315"/>
    <cellStyle name="Normalny 3 3 3 2 3 5" xfId="19316"/>
    <cellStyle name="Normalny 3 3 3 2 3 5 2" xfId="19317"/>
    <cellStyle name="Normalny 3 3 3 2 3 5 3" xfId="19318"/>
    <cellStyle name="Normalny 3 3 3 2 3 6" xfId="19319"/>
    <cellStyle name="Normalny 3 3 3 2 3 7" xfId="19320"/>
    <cellStyle name="Normalny 3 3 3 2 4" xfId="19321"/>
    <cellStyle name="Normalny 3 3 3 2 4 2" xfId="19322"/>
    <cellStyle name="Normalny 3 3 3 2 4 2 2" xfId="19323"/>
    <cellStyle name="Normalny 3 3 3 2 4 2 2 2" xfId="19324"/>
    <cellStyle name="Normalny 3 3 3 2 4 2 2 3" xfId="19325"/>
    <cellStyle name="Normalny 3 3 3 2 4 2 3" xfId="19326"/>
    <cellStyle name="Normalny 3 3 3 2 4 2 4" xfId="19327"/>
    <cellStyle name="Normalny 3 3 3 2 4 3" xfId="19328"/>
    <cellStyle name="Normalny 3 3 3 2 4 3 2" xfId="19329"/>
    <cellStyle name="Normalny 3 3 3 2 4 3 3" xfId="19330"/>
    <cellStyle name="Normalny 3 3 3 2 4 4" xfId="19331"/>
    <cellStyle name="Normalny 3 3 3 2 4 5" xfId="19332"/>
    <cellStyle name="Normalny 3 3 3 2 5" xfId="19333"/>
    <cellStyle name="Normalny 3 3 3 2 5 2" xfId="19334"/>
    <cellStyle name="Normalny 3 3 3 2 5 2 2" xfId="19335"/>
    <cellStyle name="Normalny 3 3 3 2 5 2 3" xfId="19336"/>
    <cellStyle name="Normalny 3 3 3 2 5 3" xfId="19337"/>
    <cellStyle name="Normalny 3 3 3 2 5 4" xfId="19338"/>
    <cellStyle name="Normalny 3 3 3 2 6" xfId="19339"/>
    <cellStyle name="Normalny 3 3 3 2 6 2" xfId="19340"/>
    <cellStyle name="Normalny 3 3 3 2 6 2 2" xfId="19341"/>
    <cellStyle name="Normalny 3 3 3 2 6 2 3" xfId="19342"/>
    <cellStyle name="Normalny 3 3 3 2 6 3" xfId="19343"/>
    <cellStyle name="Normalny 3 3 3 2 6 4" xfId="19344"/>
    <cellStyle name="Normalny 3 3 3 2 7" xfId="19345"/>
    <cellStyle name="Normalny 3 3 3 2 7 2" xfId="19346"/>
    <cellStyle name="Normalny 3 3 3 2 7 2 2" xfId="19347"/>
    <cellStyle name="Normalny 3 3 3 2 7 2 3" xfId="19348"/>
    <cellStyle name="Normalny 3 3 3 2 7 3" xfId="19349"/>
    <cellStyle name="Normalny 3 3 3 2 7 4" xfId="19350"/>
    <cellStyle name="Normalny 3 3 3 2 8" xfId="19351"/>
    <cellStyle name="Normalny 3 3 3 2 8 2" xfId="19352"/>
    <cellStyle name="Normalny 3 3 3 2 8 3" xfId="19353"/>
    <cellStyle name="Normalny 3 3 3 2 9" xfId="19354"/>
    <cellStyle name="Normalny 3 3 3 3" xfId="19355"/>
    <cellStyle name="Normalny 3 3 3 3 2" xfId="19356"/>
    <cellStyle name="Normalny 3 3 3 3 2 2" xfId="19357"/>
    <cellStyle name="Normalny 3 3 3 3 2 2 2" xfId="19358"/>
    <cellStyle name="Normalny 3 3 3 3 2 2 3" xfId="19359"/>
    <cellStyle name="Normalny 3 3 3 3 2 3" xfId="19360"/>
    <cellStyle name="Normalny 3 3 3 3 2 4" xfId="19361"/>
    <cellStyle name="Normalny 3 3 3 3 3" xfId="19362"/>
    <cellStyle name="Normalny 3 3 3 3 3 2" xfId="19363"/>
    <cellStyle name="Normalny 3 3 3 3 3 2 2" xfId="19364"/>
    <cellStyle name="Normalny 3 3 3 3 3 2 3" xfId="19365"/>
    <cellStyle name="Normalny 3 3 3 3 3 3" xfId="19366"/>
    <cellStyle name="Normalny 3 3 3 3 3 4" xfId="19367"/>
    <cellStyle name="Normalny 3 3 3 3 4" xfId="19368"/>
    <cellStyle name="Normalny 3 3 3 3 4 2" xfId="19369"/>
    <cellStyle name="Normalny 3 3 3 3 4 2 2" xfId="19370"/>
    <cellStyle name="Normalny 3 3 3 3 4 2 3" xfId="19371"/>
    <cellStyle name="Normalny 3 3 3 3 4 3" xfId="19372"/>
    <cellStyle name="Normalny 3 3 3 3 4 4" xfId="19373"/>
    <cellStyle name="Normalny 3 3 3 3 5" xfId="19374"/>
    <cellStyle name="Normalny 3 3 3 3 5 2" xfId="19375"/>
    <cellStyle name="Normalny 3 3 3 3 5 3" xfId="19376"/>
    <cellStyle name="Normalny 3 3 3 3 6" xfId="19377"/>
    <cellStyle name="Normalny 3 3 3 3 7" xfId="19378"/>
    <cellStyle name="Normalny 3 3 3 4" xfId="19379"/>
    <cellStyle name="Normalny 3 3 3 4 2" xfId="19380"/>
    <cellStyle name="Normalny 3 3 3 4 2 2" xfId="19381"/>
    <cellStyle name="Normalny 3 3 3 4 2 2 2" xfId="19382"/>
    <cellStyle name="Normalny 3 3 3 4 2 2 3" xfId="19383"/>
    <cellStyle name="Normalny 3 3 3 4 2 3" xfId="19384"/>
    <cellStyle name="Normalny 3 3 3 4 2 4" xfId="19385"/>
    <cellStyle name="Normalny 3 3 3 4 3" xfId="19386"/>
    <cellStyle name="Normalny 3 3 3 4 3 2" xfId="19387"/>
    <cellStyle name="Normalny 3 3 3 4 3 2 2" xfId="19388"/>
    <cellStyle name="Normalny 3 3 3 4 3 2 3" xfId="19389"/>
    <cellStyle name="Normalny 3 3 3 4 3 3" xfId="19390"/>
    <cellStyle name="Normalny 3 3 3 4 3 4" xfId="19391"/>
    <cellStyle name="Normalny 3 3 3 4 4" xfId="19392"/>
    <cellStyle name="Normalny 3 3 3 4 4 2" xfId="19393"/>
    <cellStyle name="Normalny 3 3 3 4 4 2 2" xfId="19394"/>
    <cellStyle name="Normalny 3 3 3 4 4 2 3" xfId="19395"/>
    <cellStyle name="Normalny 3 3 3 4 4 3" xfId="19396"/>
    <cellStyle name="Normalny 3 3 3 4 4 4" xfId="19397"/>
    <cellStyle name="Normalny 3 3 3 4 5" xfId="19398"/>
    <cellStyle name="Normalny 3 3 3 4 5 2" xfId="19399"/>
    <cellStyle name="Normalny 3 3 3 4 5 3" xfId="19400"/>
    <cellStyle name="Normalny 3 3 3 4 6" xfId="19401"/>
    <cellStyle name="Normalny 3 3 3 4 7" xfId="19402"/>
    <cellStyle name="Normalny 3 3 3 5" xfId="19403"/>
    <cellStyle name="Normalny 3 3 3 5 2" xfId="19404"/>
    <cellStyle name="Normalny 3 3 3 5 2 2" xfId="19405"/>
    <cellStyle name="Normalny 3 3 3 5 2 2 2" xfId="19406"/>
    <cellStyle name="Normalny 3 3 3 5 2 2 3" xfId="19407"/>
    <cellStyle name="Normalny 3 3 3 5 2 3" xfId="19408"/>
    <cellStyle name="Normalny 3 3 3 5 2 4" xfId="19409"/>
    <cellStyle name="Normalny 3 3 3 5 3" xfId="19410"/>
    <cellStyle name="Normalny 3 3 3 5 3 2" xfId="19411"/>
    <cellStyle name="Normalny 3 3 3 5 3 3" xfId="19412"/>
    <cellStyle name="Normalny 3 3 3 5 4" xfId="19413"/>
    <cellStyle name="Normalny 3 3 3 5 5" xfId="19414"/>
    <cellStyle name="Normalny 3 3 3 6" xfId="19415"/>
    <cellStyle name="Normalny 3 3 3 6 2" xfId="19416"/>
    <cellStyle name="Normalny 3 3 3 6 2 2" xfId="19417"/>
    <cellStyle name="Normalny 3 3 3 6 2 3" xfId="19418"/>
    <cellStyle name="Normalny 3 3 3 6 3" xfId="19419"/>
    <cellStyle name="Normalny 3 3 3 6 4" xfId="19420"/>
    <cellStyle name="Normalny 3 3 3 7" xfId="19421"/>
    <cellStyle name="Normalny 3 3 3 7 2" xfId="19422"/>
    <cellStyle name="Normalny 3 3 3 7 2 2" xfId="19423"/>
    <cellStyle name="Normalny 3 3 3 7 2 3" xfId="19424"/>
    <cellStyle name="Normalny 3 3 3 7 3" xfId="19425"/>
    <cellStyle name="Normalny 3 3 3 7 4" xfId="19426"/>
    <cellStyle name="Normalny 3 3 3 8" xfId="19427"/>
    <cellStyle name="Normalny 3 3 3 8 2" xfId="19428"/>
    <cellStyle name="Normalny 3 3 3 8 2 2" xfId="19429"/>
    <cellStyle name="Normalny 3 3 3 8 2 3" xfId="19430"/>
    <cellStyle name="Normalny 3 3 3 8 3" xfId="19431"/>
    <cellStyle name="Normalny 3 3 3 8 4" xfId="19432"/>
    <cellStyle name="Normalny 3 3 3 9" xfId="19433"/>
    <cellStyle name="Normalny 3 3 3 9 2" xfId="19434"/>
    <cellStyle name="Normalny 3 3 3 9 3" xfId="19435"/>
    <cellStyle name="Normalny 3 3 4" xfId="19436"/>
    <cellStyle name="Normalny 3 3 4 10" xfId="19437"/>
    <cellStyle name="Normalny 3 3 4 2" xfId="19438"/>
    <cellStyle name="Normalny 3 3 4 2 2" xfId="19439"/>
    <cellStyle name="Normalny 3 3 4 2 2 2" xfId="19440"/>
    <cellStyle name="Normalny 3 3 4 2 2 2 2" xfId="19441"/>
    <cellStyle name="Normalny 3 3 4 2 2 2 3" xfId="19442"/>
    <cellStyle name="Normalny 3 3 4 2 2 3" xfId="19443"/>
    <cellStyle name="Normalny 3 3 4 2 2 4" xfId="19444"/>
    <cellStyle name="Normalny 3 3 4 2 3" xfId="19445"/>
    <cellStyle name="Normalny 3 3 4 2 3 2" xfId="19446"/>
    <cellStyle name="Normalny 3 3 4 2 3 2 2" xfId="19447"/>
    <cellStyle name="Normalny 3 3 4 2 3 2 3" xfId="19448"/>
    <cellStyle name="Normalny 3 3 4 2 3 3" xfId="19449"/>
    <cellStyle name="Normalny 3 3 4 2 3 4" xfId="19450"/>
    <cellStyle name="Normalny 3 3 4 2 4" xfId="19451"/>
    <cellStyle name="Normalny 3 3 4 2 4 2" xfId="19452"/>
    <cellStyle name="Normalny 3 3 4 2 4 2 2" xfId="19453"/>
    <cellStyle name="Normalny 3 3 4 2 4 2 3" xfId="19454"/>
    <cellStyle name="Normalny 3 3 4 2 4 3" xfId="19455"/>
    <cellStyle name="Normalny 3 3 4 2 4 4" xfId="19456"/>
    <cellStyle name="Normalny 3 3 4 2 5" xfId="19457"/>
    <cellStyle name="Normalny 3 3 4 2 5 2" xfId="19458"/>
    <cellStyle name="Normalny 3 3 4 2 5 3" xfId="19459"/>
    <cellStyle name="Normalny 3 3 4 2 6" xfId="19460"/>
    <cellStyle name="Normalny 3 3 4 2 7" xfId="19461"/>
    <cellStyle name="Normalny 3 3 4 3" xfId="19462"/>
    <cellStyle name="Normalny 3 3 4 3 2" xfId="19463"/>
    <cellStyle name="Normalny 3 3 4 3 2 2" xfId="19464"/>
    <cellStyle name="Normalny 3 3 4 3 2 2 2" xfId="19465"/>
    <cellStyle name="Normalny 3 3 4 3 2 2 3" xfId="19466"/>
    <cellStyle name="Normalny 3 3 4 3 2 3" xfId="19467"/>
    <cellStyle name="Normalny 3 3 4 3 2 4" xfId="19468"/>
    <cellStyle name="Normalny 3 3 4 3 3" xfId="19469"/>
    <cellStyle name="Normalny 3 3 4 3 3 2" xfId="19470"/>
    <cellStyle name="Normalny 3 3 4 3 3 2 2" xfId="19471"/>
    <cellStyle name="Normalny 3 3 4 3 3 2 3" xfId="19472"/>
    <cellStyle name="Normalny 3 3 4 3 3 3" xfId="19473"/>
    <cellStyle name="Normalny 3 3 4 3 3 4" xfId="19474"/>
    <cellStyle name="Normalny 3 3 4 3 4" xfId="19475"/>
    <cellStyle name="Normalny 3 3 4 3 4 2" xfId="19476"/>
    <cellStyle name="Normalny 3 3 4 3 4 2 2" xfId="19477"/>
    <cellStyle name="Normalny 3 3 4 3 4 2 3" xfId="19478"/>
    <cellStyle name="Normalny 3 3 4 3 4 3" xfId="19479"/>
    <cellStyle name="Normalny 3 3 4 3 4 4" xfId="19480"/>
    <cellStyle name="Normalny 3 3 4 3 5" xfId="19481"/>
    <cellStyle name="Normalny 3 3 4 3 5 2" xfId="19482"/>
    <cellStyle name="Normalny 3 3 4 3 5 3" xfId="19483"/>
    <cellStyle name="Normalny 3 3 4 3 6" xfId="19484"/>
    <cellStyle name="Normalny 3 3 4 3 7" xfId="19485"/>
    <cellStyle name="Normalny 3 3 4 4" xfId="19486"/>
    <cellStyle name="Normalny 3 3 4 4 2" xfId="19487"/>
    <cellStyle name="Normalny 3 3 4 4 2 2" xfId="19488"/>
    <cellStyle name="Normalny 3 3 4 4 2 2 2" xfId="19489"/>
    <cellStyle name="Normalny 3 3 4 4 2 2 3" xfId="19490"/>
    <cellStyle name="Normalny 3 3 4 4 2 3" xfId="19491"/>
    <cellStyle name="Normalny 3 3 4 4 2 4" xfId="19492"/>
    <cellStyle name="Normalny 3 3 4 4 3" xfId="19493"/>
    <cellStyle name="Normalny 3 3 4 4 3 2" xfId="19494"/>
    <cellStyle name="Normalny 3 3 4 4 3 3" xfId="19495"/>
    <cellStyle name="Normalny 3 3 4 4 4" xfId="19496"/>
    <cellStyle name="Normalny 3 3 4 4 5" xfId="19497"/>
    <cellStyle name="Normalny 3 3 4 5" xfId="19498"/>
    <cellStyle name="Normalny 3 3 4 5 2" xfId="19499"/>
    <cellStyle name="Normalny 3 3 4 5 2 2" xfId="19500"/>
    <cellStyle name="Normalny 3 3 4 5 2 3" xfId="19501"/>
    <cellStyle name="Normalny 3 3 4 5 3" xfId="19502"/>
    <cellStyle name="Normalny 3 3 4 5 4" xfId="19503"/>
    <cellStyle name="Normalny 3 3 4 6" xfId="19504"/>
    <cellStyle name="Normalny 3 3 4 6 2" xfId="19505"/>
    <cellStyle name="Normalny 3 3 4 6 2 2" xfId="19506"/>
    <cellStyle name="Normalny 3 3 4 6 2 3" xfId="19507"/>
    <cellStyle name="Normalny 3 3 4 6 3" xfId="19508"/>
    <cellStyle name="Normalny 3 3 4 6 4" xfId="19509"/>
    <cellStyle name="Normalny 3 3 4 7" xfId="19510"/>
    <cellStyle name="Normalny 3 3 4 7 2" xfId="19511"/>
    <cellStyle name="Normalny 3 3 4 7 2 2" xfId="19512"/>
    <cellStyle name="Normalny 3 3 4 7 2 3" xfId="19513"/>
    <cellStyle name="Normalny 3 3 4 7 3" xfId="19514"/>
    <cellStyle name="Normalny 3 3 4 7 4" xfId="19515"/>
    <cellStyle name="Normalny 3 3 4 8" xfId="19516"/>
    <cellStyle name="Normalny 3 3 4 8 2" xfId="19517"/>
    <cellStyle name="Normalny 3 3 4 8 3" xfId="19518"/>
    <cellStyle name="Normalny 3 3 4 9" xfId="19519"/>
    <cellStyle name="Normalny 3 3 5" xfId="19520"/>
    <cellStyle name="Normalny 3 3 5 2" xfId="19521"/>
    <cellStyle name="Normalny 3 3 5 2 2" xfId="19522"/>
    <cellStyle name="Normalny 3 3 5 2 2 2" xfId="19523"/>
    <cellStyle name="Normalny 3 3 5 2 2 2 2" xfId="19524"/>
    <cellStyle name="Normalny 3 3 5 2 2 2 3" xfId="19525"/>
    <cellStyle name="Normalny 3 3 5 2 2 3" xfId="19526"/>
    <cellStyle name="Normalny 3 3 5 2 2 4" xfId="19527"/>
    <cellStyle name="Normalny 3 3 5 2 3" xfId="19528"/>
    <cellStyle name="Normalny 3 3 5 2 3 2" xfId="19529"/>
    <cellStyle name="Normalny 3 3 5 2 3 2 2" xfId="19530"/>
    <cellStyle name="Normalny 3 3 5 2 3 2 3" xfId="19531"/>
    <cellStyle name="Normalny 3 3 5 2 3 3" xfId="19532"/>
    <cellStyle name="Normalny 3 3 5 2 3 4" xfId="19533"/>
    <cellStyle name="Normalny 3 3 5 2 4" xfId="19534"/>
    <cellStyle name="Normalny 3 3 5 2 4 2" xfId="19535"/>
    <cellStyle name="Normalny 3 3 5 2 4 2 2" xfId="19536"/>
    <cellStyle name="Normalny 3 3 5 2 4 2 3" xfId="19537"/>
    <cellStyle name="Normalny 3 3 5 2 4 3" xfId="19538"/>
    <cellStyle name="Normalny 3 3 5 2 4 4" xfId="19539"/>
    <cellStyle name="Normalny 3 3 5 2 5" xfId="19540"/>
    <cellStyle name="Normalny 3 3 5 2 5 2" xfId="19541"/>
    <cellStyle name="Normalny 3 3 5 2 5 3" xfId="19542"/>
    <cellStyle name="Normalny 3 3 5 2 6" xfId="19543"/>
    <cellStyle name="Normalny 3 3 5 2 7" xfId="19544"/>
    <cellStyle name="Normalny 3 3 5 3" xfId="19545"/>
    <cellStyle name="Normalny 3 3 5 3 2" xfId="19546"/>
    <cellStyle name="Normalny 3 3 5 3 2 2" xfId="19547"/>
    <cellStyle name="Normalny 3 3 5 3 2 2 2" xfId="19548"/>
    <cellStyle name="Normalny 3 3 5 3 2 2 3" xfId="19549"/>
    <cellStyle name="Normalny 3 3 5 3 2 3" xfId="19550"/>
    <cellStyle name="Normalny 3 3 5 3 2 4" xfId="19551"/>
    <cellStyle name="Normalny 3 3 5 3 3" xfId="19552"/>
    <cellStyle name="Normalny 3 3 5 3 3 2" xfId="19553"/>
    <cellStyle name="Normalny 3 3 5 3 3 2 2" xfId="19554"/>
    <cellStyle name="Normalny 3 3 5 3 3 2 3" xfId="19555"/>
    <cellStyle name="Normalny 3 3 5 3 3 3" xfId="19556"/>
    <cellStyle name="Normalny 3 3 5 3 3 4" xfId="19557"/>
    <cellStyle name="Normalny 3 3 5 3 4" xfId="19558"/>
    <cellStyle name="Normalny 3 3 5 3 4 2" xfId="19559"/>
    <cellStyle name="Normalny 3 3 5 3 4 2 2" xfId="19560"/>
    <cellStyle name="Normalny 3 3 5 3 4 2 3" xfId="19561"/>
    <cellStyle name="Normalny 3 3 5 3 4 3" xfId="19562"/>
    <cellStyle name="Normalny 3 3 5 3 4 4" xfId="19563"/>
    <cellStyle name="Normalny 3 3 5 3 5" xfId="19564"/>
    <cellStyle name="Normalny 3 3 5 3 5 2" xfId="19565"/>
    <cellStyle name="Normalny 3 3 5 3 5 3" xfId="19566"/>
    <cellStyle name="Normalny 3 3 5 3 6" xfId="19567"/>
    <cellStyle name="Normalny 3 3 5 3 7" xfId="19568"/>
    <cellStyle name="Normalny 3 3 5 4" xfId="19569"/>
    <cellStyle name="Normalny 3 3 5 4 2" xfId="19570"/>
    <cellStyle name="Normalny 3 3 5 4 2 2" xfId="19571"/>
    <cellStyle name="Normalny 3 3 5 4 2 3" xfId="19572"/>
    <cellStyle name="Normalny 3 3 5 4 3" xfId="19573"/>
    <cellStyle name="Normalny 3 3 5 4 4" xfId="19574"/>
    <cellStyle name="Normalny 3 3 5 5" xfId="19575"/>
    <cellStyle name="Normalny 3 3 5 5 2" xfId="19576"/>
    <cellStyle name="Normalny 3 3 5 5 2 2" xfId="19577"/>
    <cellStyle name="Normalny 3 3 5 5 2 3" xfId="19578"/>
    <cellStyle name="Normalny 3 3 5 5 3" xfId="19579"/>
    <cellStyle name="Normalny 3 3 5 5 4" xfId="19580"/>
    <cellStyle name="Normalny 3 3 5 6" xfId="19581"/>
    <cellStyle name="Normalny 3 3 5 6 2" xfId="19582"/>
    <cellStyle name="Normalny 3 3 5 6 2 2" xfId="19583"/>
    <cellStyle name="Normalny 3 3 5 6 2 3" xfId="19584"/>
    <cellStyle name="Normalny 3 3 5 6 3" xfId="19585"/>
    <cellStyle name="Normalny 3 3 5 6 4" xfId="19586"/>
    <cellStyle name="Normalny 3 3 5 7" xfId="19587"/>
    <cellStyle name="Normalny 3 3 5 7 2" xfId="19588"/>
    <cellStyle name="Normalny 3 3 5 7 3" xfId="19589"/>
    <cellStyle name="Normalny 3 3 5 8" xfId="19590"/>
    <cellStyle name="Normalny 3 3 5 9" xfId="19591"/>
    <cellStyle name="Normalny 3 3 6" xfId="19592"/>
    <cellStyle name="Normalny 3 3 6 2" xfId="19593"/>
    <cellStyle name="Normalny 3 3 6 2 2" xfId="19594"/>
    <cellStyle name="Normalny 3 3 6 2 2 2" xfId="19595"/>
    <cellStyle name="Normalny 3 3 6 2 2 2 2" xfId="19596"/>
    <cellStyle name="Normalny 3 3 6 2 2 2 3" xfId="19597"/>
    <cellStyle name="Normalny 3 3 6 2 2 3" xfId="19598"/>
    <cellStyle name="Normalny 3 3 6 2 2 4" xfId="19599"/>
    <cellStyle name="Normalny 3 3 6 2 3" xfId="19600"/>
    <cellStyle name="Normalny 3 3 6 2 3 2" xfId="19601"/>
    <cellStyle name="Normalny 3 3 6 2 3 2 2" xfId="19602"/>
    <cellStyle name="Normalny 3 3 6 2 3 2 3" xfId="19603"/>
    <cellStyle name="Normalny 3 3 6 2 3 3" xfId="19604"/>
    <cellStyle name="Normalny 3 3 6 2 3 4" xfId="19605"/>
    <cellStyle name="Normalny 3 3 6 2 4" xfId="19606"/>
    <cellStyle name="Normalny 3 3 6 2 4 2" xfId="19607"/>
    <cellStyle name="Normalny 3 3 6 2 4 2 2" xfId="19608"/>
    <cellStyle name="Normalny 3 3 6 2 4 2 3" xfId="19609"/>
    <cellStyle name="Normalny 3 3 6 2 4 3" xfId="19610"/>
    <cellStyle name="Normalny 3 3 6 2 4 4" xfId="19611"/>
    <cellStyle name="Normalny 3 3 6 2 5" xfId="19612"/>
    <cellStyle name="Normalny 3 3 6 2 5 2" xfId="19613"/>
    <cellStyle name="Normalny 3 3 6 2 5 3" xfId="19614"/>
    <cellStyle name="Normalny 3 3 6 2 6" xfId="19615"/>
    <cellStyle name="Normalny 3 3 6 2 7" xfId="19616"/>
    <cellStyle name="Normalny 3 3 6 3" xfId="19617"/>
    <cellStyle name="Normalny 3 3 6 3 2" xfId="19618"/>
    <cellStyle name="Normalny 3 3 6 3 2 2" xfId="19619"/>
    <cellStyle name="Normalny 3 3 6 3 2 2 2" xfId="19620"/>
    <cellStyle name="Normalny 3 3 6 3 2 2 3" xfId="19621"/>
    <cellStyle name="Normalny 3 3 6 3 2 3" xfId="19622"/>
    <cellStyle name="Normalny 3 3 6 3 2 4" xfId="19623"/>
    <cellStyle name="Normalny 3 3 6 3 3" xfId="19624"/>
    <cellStyle name="Normalny 3 3 6 3 3 2" xfId="19625"/>
    <cellStyle name="Normalny 3 3 6 3 3 2 2" xfId="19626"/>
    <cellStyle name="Normalny 3 3 6 3 3 2 3" xfId="19627"/>
    <cellStyle name="Normalny 3 3 6 3 3 3" xfId="19628"/>
    <cellStyle name="Normalny 3 3 6 3 3 4" xfId="19629"/>
    <cellStyle name="Normalny 3 3 6 3 4" xfId="19630"/>
    <cellStyle name="Normalny 3 3 6 3 4 2" xfId="19631"/>
    <cellStyle name="Normalny 3 3 6 3 4 2 2" xfId="19632"/>
    <cellStyle name="Normalny 3 3 6 3 4 2 3" xfId="19633"/>
    <cellStyle name="Normalny 3 3 6 3 4 3" xfId="19634"/>
    <cellStyle name="Normalny 3 3 6 3 4 4" xfId="19635"/>
    <cellStyle name="Normalny 3 3 6 3 5" xfId="19636"/>
    <cellStyle name="Normalny 3 3 6 3 5 2" xfId="19637"/>
    <cellStyle name="Normalny 3 3 6 3 5 3" xfId="19638"/>
    <cellStyle name="Normalny 3 3 6 3 6" xfId="19639"/>
    <cellStyle name="Normalny 3 3 6 3 7" xfId="19640"/>
    <cellStyle name="Normalny 3 3 6 4" xfId="19641"/>
    <cellStyle name="Normalny 3 3 6 4 2" xfId="19642"/>
    <cellStyle name="Normalny 3 3 6 4 2 2" xfId="19643"/>
    <cellStyle name="Normalny 3 3 6 4 2 3" xfId="19644"/>
    <cellStyle name="Normalny 3 3 6 4 3" xfId="19645"/>
    <cellStyle name="Normalny 3 3 6 4 4" xfId="19646"/>
    <cellStyle name="Normalny 3 3 6 5" xfId="19647"/>
    <cellStyle name="Normalny 3 3 6 5 2" xfId="19648"/>
    <cellStyle name="Normalny 3 3 6 5 2 2" xfId="19649"/>
    <cellStyle name="Normalny 3 3 6 5 2 3" xfId="19650"/>
    <cellStyle name="Normalny 3 3 6 5 3" xfId="19651"/>
    <cellStyle name="Normalny 3 3 6 5 4" xfId="19652"/>
    <cellStyle name="Normalny 3 3 6 6" xfId="19653"/>
    <cellStyle name="Normalny 3 3 6 6 2" xfId="19654"/>
    <cellStyle name="Normalny 3 3 6 6 2 2" xfId="19655"/>
    <cellStyle name="Normalny 3 3 6 6 2 3" xfId="19656"/>
    <cellStyle name="Normalny 3 3 6 6 3" xfId="19657"/>
    <cellStyle name="Normalny 3 3 6 6 4" xfId="19658"/>
    <cellStyle name="Normalny 3 3 6 7" xfId="19659"/>
    <cellStyle name="Normalny 3 3 6 7 2" xfId="19660"/>
    <cellStyle name="Normalny 3 3 6 7 3" xfId="19661"/>
    <cellStyle name="Normalny 3 3 6 8" xfId="19662"/>
    <cellStyle name="Normalny 3 3 6 9" xfId="19663"/>
    <cellStyle name="Normalny 3 3 7" xfId="19664"/>
    <cellStyle name="Normalny 3 3 7 2" xfId="19665"/>
    <cellStyle name="Normalny 3 3 7 2 2" xfId="19666"/>
    <cellStyle name="Normalny 3 3 7 2 2 2" xfId="19667"/>
    <cellStyle name="Normalny 3 3 7 2 2 2 2" xfId="19668"/>
    <cellStyle name="Normalny 3 3 7 2 2 2 3" xfId="19669"/>
    <cellStyle name="Normalny 3 3 7 2 2 3" xfId="19670"/>
    <cellStyle name="Normalny 3 3 7 2 2 4" xfId="19671"/>
    <cellStyle name="Normalny 3 3 7 2 3" xfId="19672"/>
    <cellStyle name="Normalny 3 3 7 2 3 2" xfId="19673"/>
    <cellStyle name="Normalny 3 3 7 2 3 2 2" xfId="19674"/>
    <cellStyle name="Normalny 3 3 7 2 3 2 3" xfId="19675"/>
    <cellStyle name="Normalny 3 3 7 2 3 3" xfId="19676"/>
    <cellStyle name="Normalny 3 3 7 2 3 4" xfId="19677"/>
    <cellStyle name="Normalny 3 3 7 2 4" xfId="19678"/>
    <cellStyle name="Normalny 3 3 7 2 4 2" xfId="19679"/>
    <cellStyle name="Normalny 3 3 7 2 4 2 2" xfId="19680"/>
    <cellStyle name="Normalny 3 3 7 2 4 2 3" xfId="19681"/>
    <cellStyle name="Normalny 3 3 7 2 4 3" xfId="19682"/>
    <cellStyle name="Normalny 3 3 7 2 4 4" xfId="19683"/>
    <cellStyle name="Normalny 3 3 7 2 5" xfId="19684"/>
    <cellStyle name="Normalny 3 3 7 2 5 2" xfId="19685"/>
    <cellStyle name="Normalny 3 3 7 2 5 3" xfId="19686"/>
    <cellStyle name="Normalny 3 3 7 2 6" xfId="19687"/>
    <cellStyle name="Normalny 3 3 7 2 7" xfId="19688"/>
    <cellStyle name="Normalny 3 3 7 3" xfId="19689"/>
    <cellStyle name="Normalny 3 3 7 3 2" xfId="19690"/>
    <cellStyle name="Normalny 3 3 7 3 2 2" xfId="19691"/>
    <cellStyle name="Normalny 3 3 7 3 2 3" xfId="19692"/>
    <cellStyle name="Normalny 3 3 7 3 3" xfId="19693"/>
    <cellStyle name="Normalny 3 3 7 3 4" xfId="19694"/>
    <cellStyle name="Normalny 3 3 7 4" xfId="19695"/>
    <cellStyle name="Normalny 3 3 7 4 2" xfId="19696"/>
    <cellStyle name="Normalny 3 3 7 4 2 2" xfId="19697"/>
    <cellStyle name="Normalny 3 3 7 4 2 3" xfId="19698"/>
    <cellStyle name="Normalny 3 3 7 4 3" xfId="19699"/>
    <cellStyle name="Normalny 3 3 7 4 4" xfId="19700"/>
    <cellStyle name="Normalny 3 3 7 5" xfId="19701"/>
    <cellStyle name="Normalny 3 3 7 5 2" xfId="19702"/>
    <cellStyle name="Normalny 3 3 7 5 2 2" xfId="19703"/>
    <cellStyle name="Normalny 3 3 7 5 2 3" xfId="19704"/>
    <cellStyle name="Normalny 3 3 7 5 3" xfId="19705"/>
    <cellStyle name="Normalny 3 3 7 5 4" xfId="19706"/>
    <cellStyle name="Normalny 3 3 7 6" xfId="19707"/>
    <cellStyle name="Normalny 3 3 7 6 2" xfId="19708"/>
    <cellStyle name="Normalny 3 3 7 6 3" xfId="19709"/>
    <cellStyle name="Normalny 3 3 7 7" xfId="19710"/>
    <cellStyle name="Normalny 3 3 7 8" xfId="19711"/>
    <cellStyle name="Normalny 3 3 8" xfId="19712"/>
    <cellStyle name="Normalny 3 3 8 2" xfId="19713"/>
    <cellStyle name="Normalny 3 3 8 2 2" xfId="19714"/>
    <cellStyle name="Normalny 3 3 8 2 2 2" xfId="19715"/>
    <cellStyle name="Normalny 3 3 8 2 2 2 2" xfId="19716"/>
    <cellStyle name="Normalny 3 3 8 2 2 2 3" xfId="19717"/>
    <cellStyle name="Normalny 3 3 8 2 2 3" xfId="19718"/>
    <cellStyle name="Normalny 3 3 8 2 2 4" xfId="19719"/>
    <cellStyle name="Normalny 3 3 8 2 3" xfId="19720"/>
    <cellStyle name="Normalny 3 3 8 2 3 2" xfId="19721"/>
    <cellStyle name="Normalny 3 3 8 2 3 2 2" xfId="19722"/>
    <cellStyle name="Normalny 3 3 8 2 3 2 3" xfId="19723"/>
    <cellStyle name="Normalny 3 3 8 2 3 3" xfId="19724"/>
    <cellStyle name="Normalny 3 3 8 2 3 4" xfId="19725"/>
    <cellStyle name="Normalny 3 3 8 2 4" xfId="19726"/>
    <cellStyle name="Normalny 3 3 8 2 4 2" xfId="19727"/>
    <cellStyle name="Normalny 3 3 8 2 4 2 2" xfId="19728"/>
    <cellStyle name="Normalny 3 3 8 2 4 2 3" xfId="19729"/>
    <cellStyle name="Normalny 3 3 8 2 4 3" xfId="19730"/>
    <cellStyle name="Normalny 3 3 8 2 4 4" xfId="19731"/>
    <cellStyle name="Normalny 3 3 8 2 5" xfId="19732"/>
    <cellStyle name="Normalny 3 3 8 2 5 2" xfId="19733"/>
    <cellStyle name="Normalny 3 3 8 2 5 3" xfId="19734"/>
    <cellStyle name="Normalny 3 3 8 2 6" xfId="19735"/>
    <cellStyle name="Normalny 3 3 8 2 7" xfId="19736"/>
    <cellStyle name="Normalny 3 3 8 3" xfId="19737"/>
    <cellStyle name="Normalny 3 3 8 3 2" xfId="19738"/>
    <cellStyle name="Normalny 3 3 8 3 2 2" xfId="19739"/>
    <cellStyle name="Normalny 3 3 8 3 2 3" xfId="19740"/>
    <cellStyle name="Normalny 3 3 8 3 3" xfId="19741"/>
    <cellStyle name="Normalny 3 3 8 3 4" xfId="19742"/>
    <cellStyle name="Normalny 3 3 8 4" xfId="19743"/>
    <cellStyle name="Normalny 3 3 8 4 2" xfId="19744"/>
    <cellStyle name="Normalny 3 3 8 4 2 2" xfId="19745"/>
    <cellStyle name="Normalny 3 3 8 4 2 3" xfId="19746"/>
    <cellStyle name="Normalny 3 3 8 4 3" xfId="19747"/>
    <cellStyle name="Normalny 3 3 8 4 4" xfId="19748"/>
    <cellStyle name="Normalny 3 3 8 5" xfId="19749"/>
    <cellStyle name="Normalny 3 3 8 5 2" xfId="19750"/>
    <cellStyle name="Normalny 3 3 8 5 2 2" xfId="19751"/>
    <cellStyle name="Normalny 3 3 8 5 2 3" xfId="19752"/>
    <cellStyle name="Normalny 3 3 8 5 3" xfId="19753"/>
    <cellStyle name="Normalny 3 3 8 5 4" xfId="19754"/>
    <cellStyle name="Normalny 3 3 8 6" xfId="19755"/>
    <cellStyle name="Normalny 3 3 8 6 2" xfId="19756"/>
    <cellStyle name="Normalny 3 3 8 6 3" xfId="19757"/>
    <cellStyle name="Normalny 3 3 8 7" xfId="19758"/>
    <cellStyle name="Normalny 3 3 8 8" xfId="19759"/>
    <cellStyle name="Normalny 3 3 9" xfId="19760"/>
    <cellStyle name="Normalny 3 3 9 2" xfId="19761"/>
    <cellStyle name="Normalny 3 3 9 2 2" xfId="19762"/>
    <cellStyle name="Normalny 3 3 9 2 2 2" xfId="19763"/>
    <cellStyle name="Normalny 3 3 9 2 2 3" xfId="19764"/>
    <cellStyle name="Normalny 3 3 9 2 3" xfId="19765"/>
    <cellStyle name="Normalny 3 3 9 2 4" xfId="19766"/>
    <cellStyle name="Normalny 3 3 9 3" xfId="19767"/>
    <cellStyle name="Normalny 3 3 9 3 2" xfId="19768"/>
    <cellStyle name="Normalny 3 3 9 3 2 2" xfId="19769"/>
    <cellStyle name="Normalny 3 3 9 3 2 3" xfId="19770"/>
    <cellStyle name="Normalny 3 3 9 3 3" xfId="19771"/>
    <cellStyle name="Normalny 3 3 9 3 4" xfId="19772"/>
    <cellStyle name="Normalny 3 3 9 4" xfId="19773"/>
    <cellStyle name="Normalny 3 3 9 4 2" xfId="19774"/>
    <cellStyle name="Normalny 3 3 9 4 2 2" xfId="19775"/>
    <cellStyle name="Normalny 3 3 9 4 2 3" xfId="19776"/>
    <cellStyle name="Normalny 3 3 9 4 3" xfId="19777"/>
    <cellStyle name="Normalny 3 3 9 4 4" xfId="19778"/>
    <cellStyle name="Normalny 3 3 9 5" xfId="19779"/>
    <cellStyle name="Normalny 3 3 9 5 2" xfId="19780"/>
    <cellStyle name="Normalny 3 3 9 5 3" xfId="19781"/>
    <cellStyle name="Normalny 3 3 9 6" xfId="19782"/>
    <cellStyle name="Normalny 3 3 9 7" xfId="19783"/>
    <cellStyle name="Normalny 3 4" xfId="19784"/>
    <cellStyle name="Normalny 3 5" xfId="19785"/>
    <cellStyle name="Normalny 3 5 10" xfId="19786"/>
    <cellStyle name="Normalny 3 5 10 2" xfId="19787"/>
    <cellStyle name="Normalny 3 5 10 2 2" xfId="19788"/>
    <cellStyle name="Normalny 3 5 10 2 3" xfId="19789"/>
    <cellStyle name="Normalny 3 5 10 3" xfId="19790"/>
    <cellStyle name="Normalny 3 5 10 4" xfId="19791"/>
    <cellStyle name="Normalny 3 5 11" xfId="19792"/>
    <cellStyle name="Normalny 3 5 11 2" xfId="19793"/>
    <cellStyle name="Normalny 3 5 11 2 2" xfId="19794"/>
    <cellStyle name="Normalny 3 5 11 2 3" xfId="19795"/>
    <cellStyle name="Normalny 3 5 11 3" xfId="19796"/>
    <cellStyle name="Normalny 3 5 11 4" xfId="19797"/>
    <cellStyle name="Normalny 3 5 12" xfId="19798"/>
    <cellStyle name="Normalny 3 5 12 2" xfId="19799"/>
    <cellStyle name="Normalny 3 5 12 3" xfId="19800"/>
    <cellStyle name="Normalny 3 5 13" xfId="19801"/>
    <cellStyle name="Normalny 3 5 13 2" xfId="19802"/>
    <cellStyle name="Normalny 3 5 13 3" xfId="19803"/>
    <cellStyle name="Normalny 3 5 14" xfId="19804"/>
    <cellStyle name="Normalny 3 5 15" xfId="19805"/>
    <cellStyle name="Normalny 3 5 16" xfId="19806"/>
    <cellStyle name="Normalny 3 5 2" xfId="19807"/>
    <cellStyle name="Normalny 3 5 2 10" xfId="19808"/>
    <cellStyle name="Normalny 3 5 2 10 2" xfId="19809"/>
    <cellStyle name="Normalny 3 5 2 10 3" xfId="19810"/>
    <cellStyle name="Normalny 3 5 2 11" xfId="19811"/>
    <cellStyle name="Normalny 3 5 2 11 2" xfId="19812"/>
    <cellStyle name="Normalny 3 5 2 11 3" xfId="19813"/>
    <cellStyle name="Normalny 3 5 2 12" xfId="19814"/>
    <cellStyle name="Normalny 3 5 2 13" xfId="19815"/>
    <cellStyle name="Normalny 3 5 2 2" xfId="19816"/>
    <cellStyle name="Normalny 3 5 2 2 10" xfId="19817"/>
    <cellStyle name="Normalny 3 5 2 2 2" xfId="19818"/>
    <cellStyle name="Normalny 3 5 2 2 2 2" xfId="19819"/>
    <cellStyle name="Normalny 3 5 2 2 2 2 2" xfId="19820"/>
    <cellStyle name="Normalny 3 5 2 2 2 2 2 2" xfId="19821"/>
    <cellStyle name="Normalny 3 5 2 2 2 2 2 3" xfId="19822"/>
    <cellStyle name="Normalny 3 5 2 2 2 2 3" xfId="19823"/>
    <cellStyle name="Normalny 3 5 2 2 2 2 4" xfId="19824"/>
    <cellStyle name="Normalny 3 5 2 2 2 3" xfId="19825"/>
    <cellStyle name="Normalny 3 5 2 2 2 3 2" xfId="19826"/>
    <cellStyle name="Normalny 3 5 2 2 2 3 2 2" xfId="19827"/>
    <cellStyle name="Normalny 3 5 2 2 2 3 2 3" xfId="19828"/>
    <cellStyle name="Normalny 3 5 2 2 2 3 3" xfId="19829"/>
    <cellStyle name="Normalny 3 5 2 2 2 3 4" xfId="19830"/>
    <cellStyle name="Normalny 3 5 2 2 2 4" xfId="19831"/>
    <cellStyle name="Normalny 3 5 2 2 2 4 2" xfId="19832"/>
    <cellStyle name="Normalny 3 5 2 2 2 4 2 2" xfId="19833"/>
    <cellStyle name="Normalny 3 5 2 2 2 4 2 3" xfId="19834"/>
    <cellStyle name="Normalny 3 5 2 2 2 4 3" xfId="19835"/>
    <cellStyle name="Normalny 3 5 2 2 2 4 4" xfId="19836"/>
    <cellStyle name="Normalny 3 5 2 2 2 5" xfId="19837"/>
    <cellStyle name="Normalny 3 5 2 2 2 5 2" xfId="19838"/>
    <cellStyle name="Normalny 3 5 2 2 2 5 3" xfId="19839"/>
    <cellStyle name="Normalny 3 5 2 2 2 6" xfId="19840"/>
    <cellStyle name="Normalny 3 5 2 2 2 7" xfId="19841"/>
    <cellStyle name="Normalny 3 5 2 2 3" xfId="19842"/>
    <cellStyle name="Normalny 3 5 2 2 3 2" xfId="19843"/>
    <cellStyle name="Normalny 3 5 2 2 3 2 2" xfId="19844"/>
    <cellStyle name="Normalny 3 5 2 2 3 2 2 2" xfId="19845"/>
    <cellStyle name="Normalny 3 5 2 2 3 2 2 3" xfId="19846"/>
    <cellStyle name="Normalny 3 5 2 2 3 2 3" xfId="19847"/>
    <cellStyle name="Normalny 3 5 2 2 3 2 4" xfId="19848"/>
    <cellStyle name="Normalny 3 5 2 2 3 3" xfId="19849"/>
    <cellStyle name="Normalny 3 5 2 2 3 3 2" xfId="19850"/>
    <cellStyle name="Normalny 3 5 2 2 3 3 2 2" xfId="19851"/>
    <cellStyle name="Normalny 3 5 2 2 3 3 2 3" xfId="19852"/>
    <cellStyle name="Normalny 3 5 2 2 3 3 3" xfId="19853"/>
    <cellStyle name="Normalny 3 5 2 2 3 3 4" xfId="19854"/>
    <cellStyle name="Normalny 3 5 2 2 3 4" xfId="19855"/>
    <cellStyle name="Normalny 3 5 2 2 3 4 2" xfId="19856"/>
    <cellStyle name="Normalny 3 5 2 2 3 4 2 2" xfId="19857"/>
    <cellStyle name="Normalny 3 5 2 2 3 4 2 3" xfId="19858"/>
    <cellStyle name="Normalny 3 5 2 2 3 4 3" xfId="19859"/>
    <cellStyle name="Normalny 3 5 2 2 3 4 4" xfId="19860"/>
    <cellStyle name="Normalny 3 5 2 2 3 5" xfId="19861"/>
    <cellStyle name="Normalny 3 5 2 2 3 5 2" xfId="19862"/>
    <cellStyle name="Normalny 3 5 2 2 3 5 3" xfId="19863"/>
    <cellStyle name="Normalny 3 5 2 2 3 6" xfId="19864"/>
    <cellStyle name="Normalny 3 5 2 2 3 7" xfId="19865"/>
    <cellStyle name="Normalny 3 5 2 2 4" xfId="19866"/>
    <cellStyle name="Normalny 3 5 2 2 4 2" xfId="19867"/>
    <cellStyle name="Normalny 3 5 2 2 4 2 2" xfId="19868"/>
    <cellStyle name="Normalny 3 5 2 2 4 2 2 2" xfId="19869"/>
    <cellStyle name="Normalny 3 5 2 2 4 2 2 3" xfId="19870"/>
    <cellStyle name="Normalny 3 5 2 2 4 2 3" xfId="19871"/>
    <cellStyle name="Normalny 3 5 2 2 4 2 4" xfId="19872"/>
    <cellStyle name="Normalny 3 5 2 2 4 3" xfId="19873"/>
    <cellStyle name="Normalny 3 5 2 2 4 3 2" xfId="19874"/>
    <cellStyle name="Normalny 3 5 2 2 4 3 3" xfId="19875"/>
    <cellStyle name="Normalny 3 5 2 2 4 4" xfId="19876"/>
    <cellStyle name="Normalny 3 5 2 2 4 5" xfId="19877"/>
    <cellStyle name="Normalny 3 5 2 2 5" xfId="19878"/>
    <cellStyle name="Normalny 3 5 2 2 5 2" xfId="19879"/>
    <cellStyle name="Normalny 3 5 2 2 5 2 2" xfId="19880"/>
    <cellStyle name="Normalny 3 5 2 2 5 2 3" xfId="19881"/>
    <cellStyle name="Normalny 3 5 2 2 5 3" xfId="19882"/>
    <cellStyle name="Normalny 3 5 2 2 5 4" xfId="19883"/>
    <cellStyle name="Normalny 3 5 2 2 6" xfId="19884"/>
    <cellStyle name="Normalny 3 5 2 2 6 2" xfId="19885"/>
    <cellStyle name="Normalny 3 5 2 2 6 2 2" xfId="19886"/>
    <cellStyle name="Normalny 3 5 2 2 6 2 3" xfId="19887"/>
    <cellStyle name="Normalny 3 5 2 2 6 3" xfId="19888"/>
    <cellStyle name="Normalny 3 5 2 2 6 4" xfId="19889"/>
    <cellStyle name="Normalny 3 5 2 2 7" xfId="19890"/>
    <cellStyle name="Normalny 3 5 2 2 7 2" xfId="19891"/>
    <cellStyle name="Normalny 3 5 2 2 7 2 2" xfId="19892"/>
    <cellStyle name="Normalny 3 5 2 2 7 2 3" xfId="19893"/>
    <cellStyle name="Normalny 3 5 2 2 7 3" xfId="19894"/>
    <cellStyle name="Normalny 3 5 2 2 7 4" xfId="19895"/>
    <cellStyle name="Normalny 3 5 2 2 8" xfId="19896"/>
    <cellStyle name="Normalny 3 5 2 2 8 2" xfId="19897"/>
    <cellStyle name="Normalny 3 5 2 2 8 3" xfId="19898"/>
    <cellStyle name="Normalny 3 5 2 2 9" xfId="19899"/>
    <cellStyle name="Normalny 3 5 2 3" xfId="19900"/>
    <cellStyle name="Normalny 3 5 2 3 2" xfId="19901"/>
    <cellStyle name="Normalny 3 5 2 3 2 2" xfId="19902"/>
    <cellStyle name="Normalny 3 5 2 3 2 2 2" xfId="19903"/>
    <cellStyle name="Normalny 3 5 2 3 2 2 2 2" xfId="19904"/>
    <cellStyle name="Normalny 3 5 2 3 2 2 2 3" xfId="19905"/>
    <cellStyle name="Normalny 3 5 2 3 2 2 3" xfId="19906"/>
    <cellStyle name="Normalny 3 5 2 3 2 2 4" xfId="19907"/>
    <cellStyle name="Normalny 3 5 2 3 2 3" xfId="19908"/>
    <cellStyle name="Normalny 3 5 2 3 2 3 2" xfId="19909"/>
    <cellStyle name="Normalny 3 5 2 3 2 3 2 2" xfId="19910"/>
    <cellStyle name="Normalny 3 5 2 3 2 3 2 3" xfId="19911"/>
    <cellStyle name="Normalny 3 5 2 3 2 3 3" xfId="19912"/>
    <cellStyle name="Normalny 3 5 2 3 2 3 4" xfId="19913"/>
    <cellStyle name="Normalny 3 5 2 3 2 4" xfId="19914"/>
    <cellStyle name="Normalny 3 5 2 3 2 4 2" xfId="19915"/>
    <cellStyle name="Normalny 3 5 2 3 2 4 2 2" xfId="19916"/>
    <cellStyle name="Normalny 3 5 2 3 2 4 2 3" xfId="19917"/>
    <cellStyle name="Normalny 3 5 2 3 2 4 3" xfId="19918"/>
    <cellStyle name="Normalny 3 5 2 3 2 4 4" xfId="19919"/>
    <cellStyle name="Normalny 3 5 2 3 2 5" xfId="19920"/>
    <cellStyle name="Normalny 3 5 2 3 2 5 2" xfId="19921"/>
    <cellStyle name="Normalny 3 5 2 3 2 5 3" xfId="19922"/>
    <cellStyle name="Normalny 3 5 2 3 2 6" xfId="19923"/>
    <cellStyle name="Normalny 3 5 2 3 2 7" xfId="19924"/>
    <cellStyle name="Normalny 3 5 2 3 3" xfId="19925"/>
    <cellStyle name="Normalny 3 5 2 3 3 2" xfId="19926"/>
    <cellStyle name="Normalny 3 5 2 3 3 2 2" xfId="19927"/>
    <cellStyle name="Normalny 3 5 2 3 3 2 2 2" xfId="19928"/>
    <cellStyle name="Normalny 3 5 2 3 3 2 2 3" xfId="19929"/>
    <cellStyle name="Normalny 3 5 2 3 3 2 3" xfId="19930"/>
    <cellStyle name="Normalny 3 5 2 3 3 2 4" xfId="19931"/>
    <cellStyle name="Normalny 3 5 2 3 3 3" xfId="19932"/>
    <cellStyle name="Normalny 3 5 2 3 3 3 2" xfId="19933"/>
    <cellStyle name="Normalny 3 5 2 3 3 3 2 2" xfId="19934"/>
    <cellStyle name="Normalny 3 5 2 3 3 3 2 3" xfId="19935"/>
    <cellStyle name="Normalny 3 5 2 3 3 3 3" xfId="19936"/>
    <cellStyle name="Normalny 3 5 2 3 3 3 4" xfId="19937"/>
    <cellStyle name="Normalny 3 5 2 3 3 4" xfId="19938"/>
    <cellStyle name="Normalny 3 5 2 3 3 4 2" xfId="19939"/>
    <cellStyle name="Normalny 3 5 2 3 3 4 2 2" xfId="19940"/>
    <cellStyle name="Normalny 3 5 2 3 3 4 2 3" xfId="19941"/>
    <cellStyle name="Normalny 3 5 2 3 3 4 3" xfId="19942"/>
    <cellStyle name="Normalny 3 5 2 3 3 4 4" xfId="19943"/>
    <cellStyle name="Normalny 3 5 2 3 3 5" xfId="19944"/>
    <cellStyle name="Normalny 3 5 2 3 3 5 2" xfId="19945"/>
    <cellStyle name="Normalny 3 5 2 3 3 5 3" xfId="19946"/>
    <cellStyle name="Normalny 3 5 2 3 3 6" xfId="19947"/>
    <cellStyle name="Normalny 3 5 2 3 3 7" xfId="19948"/>
    <cellStyle name="Normalny 3 5 2 3 4" xfId="19949"/>
    <cellStyle name="Normalny 3 5 2 3 4 2" xfId="19950"/>
    <cellStyle name="Normalny 3 5 2 3 4 2 2" xfId="19951"/>
    <cellStyle name="Normalny 3 5 2 3 4 2 3" xfId="19952"/>
    <cellStyle name="Normalny 3 5 2 3 4 3" xfId="19953"/>
    <cellStyle name="Normalny 3 5 2 3 4 4" xfId="19954"/>
    <cellStyle name="Normalny 3 5 2 3 5" xfId="19955"/>
    <cellStyle name="Normalny 3 5 2 3 5 2" xfId="19956"/>
    <cellStyle name="Normalny 3 5 2 3 5 2 2" xfId="19957"/>
    <cellStyle name="Normalny 3 5 2 3 5 2 3" xfId="19958"/>
    <cellStyle name="Normalny 3 5 2 3 5 3" xfId="19959"/>
    <cellStyle name="Normalny 3 5 2 3 5 4" xfId="19960"/>
    <cellStyle name="Normalny 3 5 2 3 6" xfId="19961"/>
    <cellStyle name="Normalny 3 5 2 3 6 2" xfId="19962"/>
    <cellStyle name="Normalny 3 5 2 3 6 2 2" xfId="19963"/>
    <cellStyle name="Normalny 3 5 2 3 6 2 3" xfId="19964"/>
    <cellStyle name="Normalny 3 5 2 3 6 3" xfId="19965"/>
    <cellStyle name="Normalny 3 5 2 3 6 4" xfId="19966"/>
    <cellStyle name="Normalny 3 5 2 3 7" xfId="19967"/>
    <cellStyle name="Normalny 3 5 2 3 7 2" xfId="19968"/>
    <cellStyle name="Normalny 3 5 2 3 7 3" xfId="19969"/>
    <cellStyle name="Normalny 3 5 2 3 8" xfId="19970"/>
    <cellStyle name="Normalny 3 5 2 3 9" xfId="19971"/>
    <cellStyle name="Normalny 3 5 2 4" xfId="19972"/>
    <cellStyle name="Normalny 3 5 2 4 2" xfId="19973"/>
    <cellStyle name="Normalny 3 5 2 4 2 2" xfId="19974"/>
    <cellStyle name="Normalny 3 5 2 4 2 2 2" xfId="19975"/>
    <cellStyle name="Normalny 3 5 2 4 2 2 3" xfId="19976"/>
    <cellStyle name="Normalny 3 5 2 4 2 3" xfId="19977"/>
    <cellStyle name="Normalny 3 5 2 4 2 4" xfId="19978"/>
    <cellStyle name="Normalny 3 5 2 4 3" xfId="19979"/>
    <cellStyle name="Normalny 3 5 2 4 3 2" xfId="19980"/>
    <cellStyle name="Normalny 3 5 2 4 3 2 2" xfId="19981"/>
    <cellStyle name="Normalny 3 5 2 4 3 2 3" xfId="19982"/>
    <cellStyle name="Normalny 3 5 2 4 3 3" xfId="19983"/>
    <cellStyle name="Normalny 3 5 2 4 3 4" xfId="19984"/>
    <cellStyle name="Normalny 3 5 2 4 4" xfId="19985"/>
    <cellStyle name="Normalny 3 5 2 4 4 2" xfId="19986"/>
    <cellStyle name="Normalny 3 5 2 4 4 2 2" xfId="19987"/>
    <cellStyle name="Normalny 3 5 2 4 4 2 3" xfId="19988"/>
    <cellStyle name="Normalny 3 5 2 4 4 3" xfId="19989"/>
    <cellStyle name="Normalny 3 5 2 4 4 4" xfId="19990"/>
    <cellStyle name="Normalny 3 5 2 4 5" xfId="19991"/>
    <cellStyle name="Normalny 3 5 2 4 5 2" xfId="19992"/>
    <cellStyle name="Normalny 3 5 2 4 5 3" xfId="19993"/>
    <cellStyle name="Normalny 3 5 2 4 6" xfId="19994"/>
    <cellStyle name="Normalny 3 5 2 4 7" xfId="19995"/>
    <cellStyle name="Normalny 3 5 2 5" xfId="19996"/>
    <cellStyle name="Normalny 3 5 2 5 2" xfId="19997"/>
    <cellStyle name="Normalny 3 5 2 5 2 2" xfId="19998"/>
    <cellStyle name="Normalny 3 5 2 5 2 2 2" xfId="19999"/>
    <cellStyle name="Normalny 3 5 2 5 2 2 3" xfId="20000"/>
    <cellStyle name="Normalny 3 5 2 5 2 3" xfId="20001"/>
    <cellStyle name="Normalny 3 5 2 5 2 4" xfId="20002"/>
    <cellStyle name="Normalny 3 5 2 5 3" xfId="20003"/>
    <cellStyle name="Normalny 3 5 2 5 3 2" xfId="20004"/>
    <cellStyle name="Normalny 3 5 2 5 3 2 2" xfId="20005"/>
    <cellStyle name="Normalny 3 5 2 5 3 2 3" xfId="20006"/>
    <cellStyle name="Normalny 3 5 2 5 3 3" xfId="20007"/>
    <cellStyle name="Normalny 3 5 2 5 3 4" xfId="20008"/>
    <cellStyle name="Normalny 3 5 2 5 4" xfId="20009"/>
    <cellStyle name="Normalny 3 5 2 5 4 2" xfId="20010"/>
    <cellStyle name="Normalny 3 5 2 5 4 2 2" xfId="20011"/>
    <cellStyle name="Normalny 3 5 2 5 4 2 3" xfId="20012"/>
    <cellStyle name="Normalny 3 5 2 5 4 3" xfId="20013"/>
    <cellStyle name="Normalny 3 5 2 5 4 4" xfId="20014"/>
    <cellStyle name="Normalny 3 5 2 5 5" xfId="20015"/>
    <cellStyle name="Normalny 3 5 2 5 5 2" xfId="20016"/>
    <cellStyle name="Normalny 3 5 2 5 5 3" xfId="20017"/>
    <cellStyle name="Normalny 3 5 2 5 6" xfId="20018"/>
    <cellStyle name="Normalny 3 5 2 5 7" xfId="20019"/>
    <cellStyle name="Normalny 3 5 2 6" xfId="20020"/>
    <cellStyle name="Normalny 3 5 2 6 2" xfId="20021"/>
    <cellStyle name="Normalny 3 5 2 6 2 2" xfId="20022"/>
    <cellStyle name="Normalny 3 5 2 6 2 2 2" xfId="20023"/>
    <cellStyle name="Normalny 3 5 2 6 2 2 3" xfId="20024"/>
    <cellStyle name="Normalny 3 5 2 6 2 3" xfId="20025"/>
    <cellStyle name="Normalny 3 5 2 6 2 4" xfId="20026"/>
    <cellStyle name="Normalny 3 5 2 6 3" xfId="20027"/>
    <cellStyle name="Normalny 3 5 2 6 3 2" xfId="20028"/>
    <cellStyle name="Normalny 3 5 2 6 3 3" xfId="20029"/>
    <cellStyle name="Normalny 3 5 2 6 4" xfId="20030"/>
    <cellStyle name="Normalny 3 5 2 6 5" xfId="20031"/>
    <cellStyle name="Normalny 3 5 2 7" xfId="20032"/>
    <cellStyle name="Normalny 3 5 2 7 2" xfId="20033"/>
    <cellStyle name="Normalny 3 5 2 7 2 2" xfId="20034"/>
    <cellStyle name="Normalny 3 5 2 7 2 3" xfId="20035"/>
    <cellStyle name="Normalny 3 5 2 7 3" xfId="20036"/>
    <cellStyle name="Normalny 3 5 2 7 4" xfId="20037"/>
    <cellStyle name="Normalny 3 5 2 8" xfId="20038"/>
    <cellStyle name="Normalny 3 5 2 8 2" xfId="20039"/>
    <cellStyle name="Normalny 3 5 2 8 2 2" xfId="20040"/>
    <cellStyle name="Normalny 3 5 2 8 2 3" xfId="20041"/>
    <cellStyle name="Normalny 3 5 2 8 3" xfId="20042"/>
    <cellStyle name="Normalny 3 5 2 8 4" xfId="20043"/>
    <cellStyle name="Normalny 3 5 2 9" xfId="20044"/>
    <cellStyle name="Normalny 3 5 2 9 2" xfId="20045"/>
    <cellStyle name="Normalny 3 5 2 9 2 2" xfId="20046"/>
    <cellStyle name="Normalny 3 5 2 9 2 3" xfId="20047"/>
    <cellStyle name="Normalny 3 5 2 9 3" xfId="20048"/>
    <cellStyle name="Normalny 3 5 2 9 4" xfId="20049"/>
    <cellStyle name="Normalny 3 5 3" xfId="20050"/>
    <cellStyle name="Normalny 3 5 3 10" xfId="20051"/>
    <cellStyle name="Normalny 3 5 3 11" xfId="20052"/>
    <cellStyle name="Normalny 3 5 3 2" xfId="20053"/>
    <cellStyle name="Normalny 3 5 3 2 2" xfId="20054"/>
    <cellStyle name="Normalny 3 5 3 2 2 2" xfId="20055"/>
    <cellStyle name="Normalny 3 5 3 2 2 2 2" xfId="20056"/>
    <cellStyle name="Normalny 3 5 3 2 2 2 2 2" xfId="20057"/>
    <cellStyle name="Normalny 3 5 3 2 2 2 2 3" xfId="20058"/>
    <cellStyle name="Normalny 3 5 3 2 2 2 3" xfId="20059"/>
    <cellStyle name="Normalny 3 5 3 2 2 2 4" xfId="20060"/>
    <cellStyle name="Normalny 3 5 3 2 2 3" xfId="20061"/>
    <cellStyle name="Normalny 3 5 3 2 2 3 2" xfId="20062"/>
    <cellStyle name="Normalny 3 5 3 2 2 3 2 2" xfId="20063"/>
    <cellStyle name="Normalny 3 5 3 2 2 3 2 3" xfId="20064"/>
    <cellStyle name="Normalny 3 5 3 2 2 3 3" xfId="20065"/>
    <cellStyle name="Normalny 3 5 3 2 2 3 4" xfId="20066"/>
    <cellStyle name="Normalny 3 5 3 2 2 4" xfId="20067"/>
    <cellStyle name="Normalny 3 5 3 2 2 4 2" xfId="20068"/>
    <cellStyle name="Normalny 3 5 3 2 2 4 2 2" xfId="20069"/>
    <cellStyle name="Normalny 3 5 3 2 2 4 2 3" xfId="20070"/>
    <cellStyle name="Normalny 3 5 3 2 2 4 3" xfId="20071"/>
    <cellStyle name="Normalny 3 5 3 2 2 4 4" xfId="20072"/>
    <cellStyle name="Normalny 3 5 3 2 2 5" xfId="20073"/>
    <cellStyle name="Normalny 3 5 3 2 2 5 2" xfId="20074"/>
    <cellStyle name="Normalny 3 5 3 2 2 5 3" xfId="20075"/>
    <cellStyle name="Normalny 3 5 3 2 2 6" xfId="20076"/>
    <cellStyle name="Normalny 3 5 3 2 2 7" xfId="20077"/>
    <cellStyle name="Normalny 3 5 3 2 3" xfId="20078"/>
    <cellStyle name="Normalny 3 5 3 2 3 2" xfId="20079"/>
    <cellStyle name="Normalny 3 5 3 2 3 2 2" xfId="20080"/>
    <cellStyle name="Normalny 3 5 3 2 3 2 2 2" xfId="20081"/>
    <cellStyle name="Normalny 3 5 3 2 3 2 2 3" xfId="20082"/>
    <cellStyle name="Normalny 3 5 3 2 3 2 3" xfId="20083"/>
    <cellStyle name="Normalny 3 5 3 2 3 2 4" xfId="20084"/>
    <cellStyle name="Normalny 3 5 3 2 3 3" xfId="20085"/>
    <cellStyle name="Normalny 3 5 3 2 3 3 2" xfId="20086"/>
    <cellStyle name="Normalny 3 5 3 2 3 3 2 2" xfId="20087"/>
    <cellStyle name="Normalny 3 5 3 2 3 3 2 3" xfId="20088"/>
    <cellStyle name="Normalny 3 5 3 2 3 3 3" xfId="20089"/>
    <cellStyle name="Normalny 3 5 3 2 3 3 4" xfId="20090"/>
    <cellStyle name="Normalny 3 5 3 2 3 4" xfId="20091"/>
    <cellStyle name="Normalny 3 5 3 2 3 4 2" xfId="20092"/>
    <cellStyle name="Normalny 3 5 3 2 3 4 2 2" xfId="20093"/>
    <cellStyle name="Normalny 3 5 3 2 3 4 2 3" xfId="20094"/>
    <cellStyle name="Normalny 3 5 3 2 3 4 3" xfId="20095"/>
    <cellStyle name="Normalny 3 5 3 2 3 4 4" xfId="20096"/>
    <cellStyle name="Normalny 3 5 3 2 3 5" xfId="20097"/>
    <cellStyle name="Normalny 3 5 3 2 3 5 2" xfId="20098"/>
    <cellStyle name="Normalny 3 5 3 2 3 5 3" xfId="20099"/>
    <cellStyle name="Normalny 3 5 3 2 3 6" xfId="20100"/>
    <cellStyle name="Normalny 3 5 3 2 3 7" xfId="20101"/>
    <cellStyle name="Normalny 3 5 3 2 4" xfId="20102"/>
    <cellStyle name="Normalny 3 5 3 2 4 2" xfId="20103"/>
    <cellStyle name="Normalny 3 5 3 2 4 2 2" xfId="20104"/>
    <cellStyle name="Normalny 3 5 3 2 4 2 3" xfId="20105"/>
    <cellStyle name="Normalny 3 5 3 2 4 3" xfId="20106"/>
    <cellStyle name="Normalny 3 5 3 2 4 4" xfId="20107"/>
    <cellStyle name="Normalny 3 5 3 2 5" xfId="20108"/>
    <cellStyle name="Normalny 3 5 3 2 5 2" xfId="20109"/>
    <cellStyle name="Normalny 3 5 3 2 5 2 2" xfId="20110"/>
    <cellStyle name="Normalny 3 5 3 2 5 2 3" xfId="20111"/>
    <cellStyle name="Normalny 3 5 3 2 5 3" xfId="20112"/>
    <cellStyle name="Normalny 3 5 3 2 5 4" xfId="20113"/>
    <cellStyle name="Normalny 3 5 3 2 6" xfId="20114"/>
    <cellStyle name="Normalny 3 5 3 2 6 2" xfId="20115"/>
    <cellStyle name="Normalny 3 5 3 2 6 2 2" xfId="20116"/>
    <cellStyle name="Normalny 3 5 3 2 6 2 3" xfId="20117"/>
    <cellStyle name="Normalny 3 5 3 2 6 3" xfId="20118"/>
    <cellStyle name="Normalny 3 5 3 2 6 4" xfId="20119"/>
    <cellStyle name="Normalny 3 5 3 2 7" xfId="20120"/>
    <cellStyle name="Normalny 3 5 3 2 7 2" xfId="20121"/>
    <cellStyle name="Normalny 3 5 3 2 7 3" xfId="20122"/>
    <cellStyle name="Normalny 3 5 3 2 8" xfId="20123"/>
    <cellStyle name="Normalny 3 5 3 2 9" xfId="20124"/>
    <cellStyle name="Normalny 3 5 3 3" xfId="20125"/>
    <cellStyle name="Normalny 3 5 3 3 2" xfId="20126"/>
    <cellStyle name="Normalny 3 5 3 3 2 2" xfId="20127"/>
    <cellStyle name="Normalny 3 5 3 3 2 2 2" xfId="20128"/>
    <cellStyle name="Normalny 3 5 3 3 2 2 3" xfId="20129"/>
    <cellStyle name="Normalny 3 5 3 3 2 3" xfId="20130"/>
    <cellStyle name="Normalny 3 5 3 3 2 4" xfId="20131"/>
    <cellStyle name="Normalny 3 5 3 3 3" xfId="20132"/>
    <cellStyle name="Normalny 3 5 3 3 3 2" xfId="20133"/>
    <cellStyle name="Normalny 3 5 3 3 3 2 2" xfId="20134"/>
    <cellStyle name="Normalny 3 5 3 3 3 2 3" xfId="20135"/>
    <cellStyle name="Normalny 3 5 3 3 3 3" xfId="20136"/>
    <cellStyle name="Normalny 3 5 3 3 3 4" xfId="20137"/>
    <cellStyle name="Normalny 3 5 3 3 4" xfId="20138"/>
    <cellStyle name="Normalny 3 5 3 3 4 2" xfId="20139"/>
    <cellStyle name="Normalny 3 5 3 3 4 2 2" xfId="20140"/>
    <cellStyle name="Normalny 3 5 3 3 4 2 3" xfId="20141"/>
    <cellStyle name="Normalny 3 5 3 3 4 3" xfId="20142"/>
    <cellStyle name="Normalny 3 5 3 3 4 4" xfId="20143"/>
    <cellStyle name="Normalny 3 5 3 3 5" xfId="20144"/>
    <cellStyle name="Normalny 3 5 3 3 5 2" xfId="20145"/>
    <cellStyle name="Normalny 3 5 3 3 5 3" xfId="20146"/>
    <cellStyle name="Normalny 3 5 3 3 6" xfId="20147"/>
    <cellStyle name="Normalny 3 5 3 3 7" xfId="20148"/>
    <cellStyle name="Normalny 3 5 3 4" xfId="20149"/>
    <cellStyle name="Normalny 3 5 3 4 2" xfId="20150"/>
    <cellStyle name="Normalny 3 5 3 4 2 2" xfId="20151"/>
    <cellStyle name="Normalny 3 5 3 4 2 2 2" xfId="20152"/>
    <cellStyle name="Normalny 3 5 3 4 2 2 3" xfId="20153"/>
    <cellStyle name="Normalny 3 5 3 4 2 3" xfId="20154"/>
    <cellStyle name="Normalny 3 5 3 4 2 4" xfId="20155"/>
    <cellStyle name="Normalny 3 5 3 4 3" xfId="20156"/>
    <cellStyle name="Normalny 3 5 3 4 3 2" xfId="20157"/>
    <cellStyle name="Normalny 3 5 3 4 3 2 2" xfId="20158"/>
    <cellStyle name="Normalny 3 5 3 4 3 2 3" xfId="20159"/>
    <cellStyle name="Normalny 3 5 3 4 3 3" xfId="20160"/>
    <cellStyle name="Normalny 3 5 3 4 3 4" xfId="20161"/>
    <cellStyle name="Normalny 3 5 3 4 4" xfId="20162"/>
    <cellStyle name="Normalny 3 5 3 4 4 2" xfId="20163"/>
    <cellStyle name="Normalny 3 5 3 4 4 2 2" xfId="20164"/>
    <cellStyle name="Normalny 3 5 3 4 4 2 3" xfId="20165"/>
    <cellStyle name="Normalny 3 5 3 4 4 3" xfId="20166"/>
    <cellStyle name="Normalny 3 5 3 4 4 4" xfId="20167"/>
    <cellStyle name="Normalny 3 5 3 4 5" xfId="20168"/>
    <cellStyle name="Normalny 3 5 3 4 5 2" xfId="20169"/>
    <cellStyle name="Normalny 3 5 3 4 5 3" xfId="20170"/>
    <cellStyle name="Normalny 3 5 3 4 6" xfId="20171"/>
    <cellStyle name="Normalny 3 5 3 4 7" xfId="20172"/>
    <cellStyle name="Normalny 3 5 3 5" xfId="20173"/>
    <cellStyle name="Normalny 3 5 3 5 2" xfId="20174"/>
    <cellStyle name="Normalny 3 5 3 5 2 2" xfId="20175"/>
    <cellStyle name="Normalny 3 5 3 5 2 2 2" xfId="20176"/>
    <cellStyle name="Normalny 3 5 3 5 2 2 3" xfId="20177"/>
    <cellStyle name="Normalny 3 5 3 5 2 3" xfId="20178"/>
    <cellStyle name="Normalny 3 5 3 5 2 4" xfId="20179"/>
    <cellStyle name="Normalny 3 5 3 5 3" xfId="20180"/>
    <cellStyle name="Normalny 3 5 3 5 3 2" xfId="20181"/>
    <cellStyle name="Normalny 3 5 3 5 3 3" xfId="20182"/>
    <cellStyle name="Normalny 3 5 3 5 4" xfId="20183"/>
    <cellStyle name="Normalny 3 5 3 5 5" xfId="20184"/>
    <cellStyle name="Normalny 3 5 3 6" xfId="20185"/>
    <cellStyle name="Normalny 3 5 3 6 2" xfId="20186"/>
    <cellStyle name="Normalny 3 5 3 6 2 2" xfId="20187"/>
    <cellStyle name="Normalny 3 5 3 6 2 3" xfId="20188"/>
    <cellStyle name="Normalny 3 5 3 6 3" xfId="20189"/>
    <cellStyle name="Normalny 3 5 3 6 4" xfId="20190"/>
    <cellStyle name="Normalny 3 5 3 7" xfId="20191"/>
    <cellStyle name="Normalny 3 5 3 7 2" xfId="20192"/>
    <cellStyle name="Normalny 3 5 3 7 2 2" xfId="20193"/>
    <cellStyle name="Normalny 3 5 3 7 2 3" xfId="20194"/>
    <cellStyle name="Normalny 3 5 3 7 3" xfId="20195"/>
    <cellStyle name="Normalny 3 5 3 7 4" xfId="20196"/>
    <cellStyle name="Normalny 3 5 3 8" xfId="20197"/>
    <cellStyle name="Normalny 3 5 3 8 2" xfId="20198"/>
    <cellStyle name="Normalny 3 5 3 8 2 2" xfId="20199"/>
    <cellStyle name="Normalny 3 5 3 8 2 3" xfId="20200"/>
    <cellStyle name="Normalny 3 5 3 8 3" xfId="20201"/>
    <cellStyle name="Normalny 3 5 3 8 4" xfId="20202"/>
    <cellStyle name="Normalny 3 5 3 9" xfId="20203"/>
    <cellStyle name="Normalny 3 5 3 9 2" xfId="20204"/>
    <cellStyle name="Normalny 3 5 3 9 3" xfId="20205"/>
    <cellStyle name="Normalny 3 5 4" xfId="20206"/>
    <cellStyle name="Normalny 3 5 4 10" xfId="20207"/>
    <cellStyle name="Normalny 3 5 4 2" xfId="20208"/>
    <cellStyle name="Normalny 3 5 4 2 2" xfId="20209"/>
    <cellStyle name="Normalny 3 5 4 2 2 2" xfId="20210"/>
    <cellStyle name="Normalny 3 5 4 2 2 2 2" xfId="20211"/>
    <cellStyle name="Normalny 3 5 4 2 2 2 3" xfId="20212"/>
    <cellStyle name="Normalny 3 5 4 2 2 3" xfId="20213"/>
    <cellStyle name="Normalny 3 5 4 2 2 4" xfId="20214"/>
    <cellStyle name="Normalny 3 5 4 2 3" xfId="20215"/>
    <cellStyle name="Normalny 3 5 4 2 3 2" xfId="20216"/>
    <cellStyle name="Normalny 3 5 4 2 3 2 2" xfId="20217"/>
    <cellStyle name="Normalny 3 5 4 2 3 2 3" xfId="20218"/>
    <cellStyle name="Normalny 3 5 4 2 3 3" xfId="20219"/>
    <cellStyle name="Normalny 3 5 4 2 3 4" xfId="20220"/>
    <cellStyle name="Normalny 3 5 4 2 4" xfId="20221"/>
    <cellStyle name="Normalny 3 5 4 2 4 2" xfId="20222"/>
    <cellStyle name="Normalny 3 5 4 2 4 2 2" xfId="20223"/>
    <cellStyle name="Normalny 3 5 4 2 4 2 3" xfId="20224"/>
    <cellStyle name="Normalny 3 5 4 2 4 3" xfId="20225"/>
    <cellStyle name="Normalny 3 5 4 2 4 4" xfId="20226"/>
    <cellStyle name="Normalny 3 5 4 2 5" xfId="20227"/>
    <cellStyle name="Normalny 3 5 4 2 5 2" xfId="20228"/>
    <cellStyle name="Normalny 3 5 4 2 5 3" xfId="20229"/>
    <cellStyle name="Normalny 3 5 4 2 6" xfId="20230"/>
    <cellStyle name="Normalny 3 5 4 2 7" xfId="20231"/>
    <cellStyle name="Normalny 3 5 4 3" xfId="20232"/>
    <cellStyle name="Normalny 3 5 4 3 2" xfId="20233"/>
    <cellStyle name="Normalny 3 5 4 3 2 2" xfId="20234"/>
    <cellStyle name="Normalny 3 5 4 3 2 2 2" xfId="20235"/>
    <cellStyle name="Normalny 3 5 4 3 2 2 3" xfId="20236"/>
    <cellStyle name="Normalny 3 5 4 3 2 3" xfId="20237"/>
    <cellStyle name="Normalny 3 5 4 3 2 4" xfId="20238"/>
    <cellStyle name="Normalny 3 5 4 3 3" xfId="20239"/>
    <cellStyle name="Normalny 3 5 4 3 3 2" xfId="20240"/>
    <cellStyle name="Normalny 3 5 4 3 3 2 2" xfId="20241"/>
    <cellStyle name="Normalny 3 5 4 3 3 2 3" xfId="20242"/>
    <cellStyle name="Normalny 3 5 4 3 3 3" xfId="20243"/>
    <cellStyle name="Normalny 3 5 4 3 3 4" xfId="20244"/>
    <cellStyle name="Normalny 3 5 4 3 4" xfId="20245"/>
    <cellStyle name="Normalny 3 5 4 3 4 2" xfId="20246"/>
    <cellStyle name="Normalny 3 5 4 3 4 2 2" xfId="20247"/>
    <cellStyle name="Normalny 3 5 4 3 4 2 3" xfId="20248"/>
    <cellStyle name="Normalny 3 5 4 3 4 3" xfId="20249"/>
    <cellStyle name="Normalny 3 5 4 3 4 4" xfId="20250"/>
    <cellStyle name="Normalny 3 5 4 3 5" xfId="20251"/>
    <cellStyle name="Normalny 3 5 4 3 5 2" xfId="20252"/>
    <cellStyle name="Normalny 3 5 4 3 5 3" xfId="20253"/>
    <cellStyle name="Normalny 3 5 4 3 6" xfId="20254"/>
    <cellStyle name="Normalny 3 5 4 3 7" xfId="20255"/>
    <cellStyle name="Normalny 3 5 4 4" xfId="20256"/>
    <cellStyle name="Normalny 3 5 4 4 2" xfId="20257"/>
    <cellStyle name="Normalny 3 5 4 4 2 2" xfId="20258"/>
    <cellStyle name="Normalny 3 5 4 4 2 2 2" xfId="20259"/>
    <cellStyle name="Normalny 3 5 4 4 2 2 3" xfId="20260"/>
    <cellStyle name="Normalny 3 5 4 4 2 3" xfId="20261"/>
    <cellStyle name="Normalny 3 5 4 4 2 4" xfId="20262"/>
    <cellStyle name="Normalny 3 5 4 4 3" xfId="20263"/>
    <cellStyle name="Normalny 3 5 4 4 3 2" xfId="20264"/>
    <cellStyle name="Normalny 3 5 4 4 3 3" xfId="20265"/>
    <cellStyle name="Normalny 3 5 4 4 4" xfId="20266"/>
    <cellStyle name="Normalny 3 5 4 4 5" xfId="20267"/>
    <cellStyle name="Normalny 3 5 4 5" xfId="20268"/>
    <cellStyle name="Normalny 3 5 4 5 2" xfId="20269"/>
    <cellStyle name="Normalny 3 5 4 5 2 2" xfId="20270"/>
    <cellStyle name="Normalny 3 5 4 5 2 3" xfId="20271"/>
    <cellStyle name="Normalny 3 5 4 5 3" xfId="20272"/>
    <cellStyle name="Normalny 3 5 4 5 4" xfId="20273"/>
    <cellStyle name="Normalny 3 5 4 6" xfId="20274"/>
    <cellStyle name="Normalny 3 5 4 6 2" xfId="20275"/>
    <cellStyle name="Normalny 3 5 4 6 2 2" xfId="20276"/>
    <cellStyle name="Normalny 3 5 4 6 2 3" xfId="20277"/>
    <cellStyle name="Normalny 3 5 4 6 3" xfId="20278"/>
    <cellStyle name="Normalny 3 5 4 6 4" xfId="20279"/>
    <cellStyle name="Normalny 3 5 4 7" xfId="20280"/>
    <cellStyle name="Normalny 3 5 4 7 2" xfId="20281"/>
    <cellStyle name="Normalny 3 5 4 7 2 2" xfId="20282"/>
    <cellStyle name="Normalny 3 5 4 7 2 3" xfId="20283"/>
    <cellStyle name="Normalny 3 5 4 7 3" xfId="20284"/>
    <cellStyle name="Normalny 3 5 4 7 4" xfId="20285"/>
    <cellStyle name="Normalny 3 5 4 8" xfId="20286"/>
    <cellStyle name="Normalny 3 5 4 8 2" xfId="20287"/>
    <cellStyle name="Normalny 3 5 4 8 3" xfId="20288"/>
    <cellStyle name="Normalny 3 5 4 9" xfId="20289"/>
    <cellStyle name="Normalny 3 5 5" xfId="20290"/>
    <cellStyle name="Normalny 3 5 5 2" xfId="20291"/>
    <cellStyle name="Normalny 3 5 5 2 2" xfId="20292"/>
    <cellStyle name="Normalny 3 5 5 2 2 2" xfId="20293"/>
    <cellStyle name="Normalny 3 5 5 2 2 2 2" xfId="20294"/>
    <cellStyle name="Normalny 3 5 5 2 2 2 3" xfId="20295"/>
    <cellStyle name="Normalny 3 5 5 2 2 3" xfId="20296"/>
    <cellStyle name="Normalny 3 5 5 2 2 4" xfId="20297"/>
    <cellStyle name="Normalny 3 5 5 2 3" xfId="20298"/>
    <cellStyle name="Normalny 3 5 5 2 3 2" xfId="20299"/>
    <cellStyle name="Normalny 3 5 5 2 3 2 2" xfId="20300"/>
    <cellStyle name="Normalny 3 5 5 2 3 2 3" xfId="20301"/>
    <cellStyle name="Normalny 3 5 5 2 3 3" xfId="20302"/>
    <cellStyle name="Normalny 3 5 5 2 3 4" xfId="20303"/>
    <cellStyle name="Normalny 3 5 5 2 4" xfId="20304"/>
    <cellStyle name="Normalny 3 5 5 2 4 2" xfId="20305"/>
    <cellStyle name="Normalny 3 5 5 2 4 2 2" xfId="20306"/>
    <cellStyle name="Normalny 3 5 5 2 4 2 3" xfId="20307"/>
    <cellStyle name="Normalny 3 5 5 2 4 3" xfId="20308"/>
    <cellStyle name="Normalny 3 5 5 2 4 4" xfId="20309"/>
    <cellStyle name="Normalny 3 5 5 2 5" xfId="20310"/>
    <cellStyle name="Normalny 3 5 5 2 5 2" xfId="20311"/>
    <cellStyle name="Normalny 3 5 5 2 5 3" xfId="20312"/>
    <cellStyle name="Normalny 3 5 5 2 6" xfId="20313"/>
    <cellStyle name="Normalny 3 5 5 2 7" xfId="20314"/>
    <cellStyle name="Normalny 3 5 5 3" xfId="20315"/>
    <cellStyle name="Normalny 3 5 5 3 2" xfId="20316"/>
    <cellStyle name="Normalny 3 5 5 3 2 2" xfId="20317"/>
    <cellStyle name="Normalny 3 5 5 3 2 2 2" xfId="20318"/>
    <cellStyle name="Normalny 3 5 5 3 2 2 3" xfId="20319"/>
    <cellStyle name="Normalny 3 5 5 3 2 3" xfId="20320"/>
    <cellStyle name="Normalny 3 5 5 3 2 4" xfId="20321"/>
    <cellStyle name="Normalny 3 5 5 3 3" xfId="20322"/>
    <cellStyle name="Normalny 3 5 5 3 3 2" xfId="20323"/>
    <cellStyle name="Normalny 3 5 5 3 3 2 2" xfId="20324"/>
    <cellStyle name="Normalny 3 5 5 3 3 2 3" xfId="20325"/>
    <cellStyle name="Normalny 3 5 5 3 3 3" xfId="20326"/>
    <cellStyle name="Normalny 3 5 5 3 3 4" xfId="20327"/>
    <cellStyle name="Normalny 3 5 5 3 4" xfId="20328"/>
    <cellStyle name="Normalny 3 5 5 3 4 2" xfId="20329"/>
    <cellStyle name="Normalny 3 5 5 3 4 2 2" xfId="20330"/>
    <cellStyle name="Normalny 3 5 5 3 4 2 3" xfId="20331"/>
    <cellStyle name="Normalny 3 5 5 3 4 3" xfId="20332"/>
    <cellStyle name="Normalny 3 5 5 3 4 4" xfId="20333"/>
    <cellStyle name="Normalny 3 5 5 3 5" xfId="20334"/>
    <cellStyle name="Normalny 3 5 5 3 5 2" xfId="20335"/>
    <cellStyle name="Normalny 3 5 5 3 5 3" xfId="20336"/>
    <cellStyle name="Normalny 3 5 5 3 6" xfId="20337"/>
    <cellStyle name="Normalny 3 5 5 3 7" xfId="20338"/>
    <cellStyle name="Normalny 3 5 5 4" xfId="20339"/>
    <cellStyle name="Normalny 3 5 5 4 2" xfId="20340"/>
    <cellStyle name="Normalny 3 5 5 4 2 2" xfId="20341"/>
    <cellStyle name="Normalny 3 5 5 4 2 3" xfId="20342"/>
    <cellStyle name="Normalny 3 5 5 4 3" xfId="20343"/>
    <cellStyle name="Normalny 3 5 5 4 4" xfId="20344"/>
    <cellStyle name="Normalny 3 5 5 5" xfId="20345"/>
    <cellStyle name="Normalny 3 5 5 5 2" xfId="20346"/>
    <cellStyle name="Normalny 3 5 5 5 2 2" xfId="20347"/>
    <cellStyle name="Normalny 3 5 5 5 2 3" xfId="20348"/>
    <cellStyle name="Normalny 3 5 5 5 3" xfId="20349"/>
    <cellStyle name="Normalny 3 5 5 5 4" xfId="20350"/>
    <cellStyle name="Normalny 3 5 5 6" xfId="20351"/>
    <cellStyle name="Normalny 3 5 5 6 2" xfId="20352"/>
    <cellStyle name="Normalny 3 5 5 6 2 2" xfId="20353"/>
    <cellStyle name="Normalny 3 5 5 6 2 3" xfId="20354"/>
    <cellStyle name="Normalny 3 5 5 6 3" xfId="20355"/>
    <cellStyle name="Normalny 3 5 5 6 4" xfId="20356"/>
    <cellStyle name="Normalny 3 5 5 7" xfId="20357"/>
    <cellStyle name="Normalny 3 5 5 7 2" xfId="20358"/>
    <cellStyle name="Normalny 3 5 5 7 3" xfId="20359"/>
    <cellStyle name="Normalny 3 5 5 8" xfId="20360"/>
    <cellStyle name="Normalny 3 5 5 9" xfId="20361"/>
    <cellStyle name="Normalny 3 5 6" xfId="20362"/>
    <cellStyle name="Normalny 3 5 6 2" xfId="20363"/>
    <cellStyle name="Normalny 3 5 6 2 2" xfId="20364"/>
    <cellStyle name="Normalny 3 5 6 2 2 2" xfId="20365"/>
    <cellStyle name="Normalny 3 5 6 2 2 3" xfId="20366"/>
    <cellStyle name="Normalny 3 5 6 2 3" xfId="20367"/>
    <cellStyle name="Normalny 3 5 6 2 4" xfId="20368"/>
    <cellStyle name="Normalny 3 5 6 3" xfId="20369"/>
    <cellStyle name="Normalny 3 5 6 3 2" xfId="20370"/>
    <cellStyle name="Normalny 3 5 6 3 2 2" xfId="20371"/>
    <cellStyle name="Normalny 3 5 6 3 2 3" xfId="20372"/>
    <cellStyle name="Normalny 3 5 6 3 3" xfId="20373"/>
    <cellStyle name="Normalny 3 5 6 3 4" xfId="20374"/>
    <cellStyle name="Normalny 3 5 6 4" xfId="20375"/>
    <cellStyle name="Normalny 3 5 6 4 2" xfId="20376"/>
    <cellStyle name="Normalny 3 5 6 4 2 2" xfId="20377"/>
    <cellStyle name="Normalny 3 5 6 4 2 3" xfId="20378"/>
    <cellStyle name="Normalny 3 5 6 4 3" xfId="20379"/>
    <cellStyle name="Normalny 3 5 6 4 4" xfId="20380"/>
    <cellStyle name="Normalny 3 5 6 5" xfId="20381"/>
    <cellStyle name="Normalny 3 5 6 5 2" xfId="20382"/>
    <cellStyle name="Normalny 3 5 6 5 3" xfId="20383"/>
    <cellStyle name="Normalny 3 5 6 6" xfId="20384"/>
    <cellStyle name="Normalny 3 5 6 7" xfId="20385"/>
    <cellStyle name="Normalny 3 5 7" xfId="20386"/>
    <cellStyle name="Normalny 3 5 7 2" xfId="20387"/>
    <cellStyle name="Normalny 3 5 7 2 2" xfId="20388"/>
    <cellStyle name="Normalny 3 5 7 2 2 2" xfId="20389"/>
    <cellStyle name="Normalny 3 5 7 2 2 3" xfId="20390"/>
    <cellStyle name="Normalny 3 5 7 2 3" xfId="20391"/>
    <cellStyle name="Normalny 3 5 7 2 4" xfId="20392"/>
    <cellStyle name="Normalny 3 5 7 3" xfId="20393"/>
    <cellStyle name="Normalny 3 5 7 3 2" xfId="20394"/>
    <cellStyle name="Normalny 3 5 7 3 2 2" xfId="20395"/>
    <cellStyle name="Normalny 3 5 7 3 2 3" xfId="20396"/>
    <cellStyle name="Normalny 3 5 7 3 3" xfId="20397"/>
    <cellStyle name="Normalny 3 5 7 3 4" xfId="20398"/>
    <cellStyle name="Normalny 3 5 7 4" xfId="20399"/>
    <cellStyle name="Normalny 3 5 7 4 2" xfId="20400"/>
    <cellStyle name="Normalny 3 5 7 4 2 2" xfId="20401"/>
    <cellStyle name="Normalny 3 5 7 4 2 3" xfId="20402"/>
    <cellStyle name="Normalny 3 5 7 4 3" xfId="20403"/>
    <cellStyle name="Normalny 3 5 7 4 4" xfId="20404"/>
    <cellStyle name="Normalny 3 5 7 5" xfId="20405"/>
    <cellStyle name="Normalny 3 5 7 5 2" xfId="20406"/>
    <cellStyle name="Normalny 3 5 7 5 3" xfId="20407"/>
    <cellStyle name="Normalny 3 5 7 6" xfId="20408"/>
    <cellStyle name="Normalny 3 5 7 7" xfId="20409"/>
    <cellStyle name="Normalny 3 5 8" xfId="20410"/>
    <cellStyle name="Normalny 3 5 8 2" xfId="20411"/>
    <cellStyle name="Normalny 3 5 8 2 2" xfId="20412"/>
    <cellStyle name="Normalny 3 5 8 2 2 2" xfId="20413"/>
    <cellStyle name="Normalny 3 5 8 2 2 3" xfId="20414"/>
    <cellStyle name="Normalny 3 5 8 2 3" xfId="20415"/>
    <cellStyle name="Normalny 3 5 8 2 4" xfId="20416"/>
    <cellStyle name="Normalny 3 5 8 3" xfId="20417"/>
    <cellStyle name="Normalny 3 5 8 3 2" xfId="20418"/>
    <cellStyle name="Normalny 3 5 8 3 3" xfId="20419"/>
    <cellStyle name="Normalny 3 5 8 4" xfId="20420"/>
    <cellStyle name="Normalny 3 5 8 5" xfId="20421"/>
    <cellStyle name="Normalny 3 5 9" xfId="20422"/>
    <cellStyle name="Normalny 3 5 9 2" xfId="20423"/>
    <cellStyle name="Normalny 3 5 9 2 2" xfId="20424"/>
    <cellStyle name="Normalny 3 5 9 2 3" xfId="20425"/>
    <cellStyle name="Normalny 3 5 9 3" xfId="20426"/>
    <cellStyle name="Normalny 3 5 9 4" xfId="20427"/>
    <cellStyle name="Normalny 3 6" xfId="20428"/>
    <cellStyle name="Normalny 3 6 10" xfId="20429"/>
    <cellStyle name="Normalny 3 6 10 2" xfId="20430"/>
    <cellStyle name="Normalny 3 6 10 3" xfId="20431"/>
    <cellStyle name="Normalny 3 6 11" xfId="20432"/>
    <cellStyle name="Normalny 3 6 12" xfId="20433"/>
    <cellStyle name="Normalny 3 6 13" xfId="20434"/>
    <cellStyle name="Normalny 3 6 2" xfId="20435"/>
    <cellStyle name="Normalny 3 6 2 10" xfId="20436"/>
    <cellStyle name="Normalny 3 6 2 2" xfId="20437"/>
    <cellStyle name="Normalny 3 6 2 2 2" xfId="20438"/>
    <cellStyle name="Normalny 3 6 2 2 2 2" xfId="20439"/>
    <cellStyle name="Normalny 3 6 2 2 2 2 2" xfId="20440"/>
    <cellStyle name="Normalny 3 6 2 2 2 2 3" xfId="20441"/>
    <cellStyle name="Normalny 3 6 2 2 2 3" xfId="20442"/>
    <cellStyle name="Normalny 3 6 2 2 2 4" xfId="20443"/>
    <cellStyle name="Normalny 3 6 2 2 3" xfId="20444"/>
    <cellStyle name="Normalny 3 6 2 2 3 2" xfId="20445"/>
    <cellStyle name="Normalny 3 6 2 2 3 2 2" xfId="20446"/>
    <cellStyle name="Normalny 3 6 2 2 3 2 3" xfId="20447"/>
    <cellStyle name="Normalny 3 6 2 2 3 3" xfId="20448"/>
    <cellStyle name="Normalny 3 6 2 2 3 4" xfId="20449"/>
    <cellStyle name="Normalny 3 6 2 2 4" xfId="20450"/>
    <cellStyle name="Normalny 3 6 2 2 4 2" xfId="20451"/>
    <cellStyle name="Normalny 3 6 2 2 4 2 2" xfId="20452"/>
    <cellStyle name="Normalny 3 6 2 2 4 2 3" xfId="20453"/>
    <cellStyle name="Normalny 3 6 2 2 4 3" xfId="20454"/>
    <cellStyle name="Normalny 3 6 2 2 4 4" xfId="20455"/>
    <cellStyle name="Normalny 3 6 2 2 5" xfId="20456"/>
    <cellStyle name="Normalny 3 6 2 2 5 2" xfId="20457"/>
    <cellStyle name="Normalny 3 6 2 2 5 3" xfId="20458"/>
    <cellStyle name="Normalny 3 6 2 2 6" xfId="20459"/>
    <cellStyle name="Normalny 3 6 2 2 7" xfId="20460"/>
    <cellStyle name="Normalny 3 6 2 3" xfId="20461"/>
    <cellStyle name="Normalny 3 6 2 3 2" xfId="20462"/>
    <cellStyle name="Normalny 3 6 2 3 2 2" xfId="20463"/>
    <cellStyle name="Normalny 3 6 2 3 2 2 2" xfId="20464"/>
    <cellStyle name="Normalny 3 6 2 3 2 2 3" xfId="20465"/>
    <cellStyle name="Normalny 3 6 2 3 2 3" xfId="20466"/>
    <cellStyle name="Normalny 3 6 2 3 2 4" xfId="20467"/>
    <cellStyle name="Normalny 3 6 2 3 3" xfId="20468"/>
    <cellStyle name="Normalny 3 6 2 3 3 2" xfId="20469"/>
    <cellStyle name="Normalny 3 6 2 3 3 2 2" xfId="20470"/>
    <cellStyle name="Normalny 3 6 2 3 3 2 3" xfId="20471"/>
    <cellStyle name="Normalny 3 6 2 3 3 3" xfId="20472"/>
    <cellStyle name="Normalny 3 6 2 3 3 4" xfId="20473"/>
    <cellStyle name="Normalny 3 6 2 3 4" xfId="20474"/>
    <cellStyle name="Normalny 3 6 2 3 4 2" xfId="20475"/>
    <cellStyle name="Normalny 3 6 2 3 4 2 2" xfId="20476"/>
    <cellStyle name="Normalny 3 6 2 3 4 2 3" xfId="20477"/>
    <cellStyle name="Normalny 3 6 2 3 4 3" xfId="20478"/>
    <cellStyle name="Normalny 3 6 2 3 4 4" xfId="20479"/>
    <cellStyle name="Normalny 3 6 2 3 5" xfId="20480"/>
    <cellStyle name="Normalny 3 6 2 3 5 2" xfId="20481"/>
    <cellStyle name="Normalny 3 6 2 3 5 3" xfId="20482"/>
    <cellStyle name="Normalny 3 6 2 3 6" xfId="20483"/>
    <cellStyle name="Normalny 3 6 2 3 7" xfId="20484"/>
    <cellStyle name="Normalny 3 6 2 4" xfId="20485"/>
    <cellStyle name="Normalny 3 6 2 4 2" xfId="20486"/>
    <cellStyle name="Normalny 3 6 2 4 2 2" xfId="20487"/>
    <cellStyle name="Normalny 3 6 2 4 2 2 2" xfId="20488"/>
    <cellStyle name="Normalny 3 6 2 4 2 2 3" xfId="20489"/>
    <cellStyle name="Normalny 3 6 2 4 2 3" xfId="20490"/>
    <cellStyle name="Normalny 3 6 2 4 2 4" xfId="20491"/>
    <cellStyle name="Normalny 3 6 2 4 3" xfId="20492"/>
    <cellStyle name="Normalny 3 6 2 4 3 2" xfId="20493"/>
    <cellStyle name="Normalny 3 6 2 4 3 3" xfId="20494"/>
    <cellStyle name="Normalny 3 6 2 4 4" xfId="20495"/>
    <cellStyle name="Normalny 3 6 2 4 5" xfId="20496"/>
    <cellStyle name="Normalny 3 6 2 5" xfId="20497"/>
    <cellStyle name="Normalny 3 6 2 5 2" xfId="20498"/>
    <cellStyle name="Normalny 3 6 2 5 2 2" xfId="20499"/>
    <cellStyle name="Normalny 3 6 2 5 2 3" xfId="20500"/>
    <cellStyle name="Normalny 3 6 2 5 3" xfId="20501"/>
    <cellStyle name="Normalny 3 6 2 5 4" xfId="20502"/>
    <cellStyle name="Normalny 3 6 2 6" xfId="20503"/>
    <cellStyle name="Normalny 3 6 2 6 2" xfId="20504"/>
    <cellStyle name="Normalny 3 6 2 6 2 2" xfId="20505"/>
    <cellStyle name="Normalny 3 6 2 6 2 3" xfId="20506"/>
    <cellStyle name="Normalny 3 6 2 6 3" xfId="20507"/>
    <cellStyle name="Normalny 3 6 2 6 4" xfId="20508"/>
    <cellStyle name="Normalny 3 6 2 7" xfId="20509"/>
    <cellStyle name="Normalny 3 6 2 7 2" xfId="20510"/>
    <cellStyle name="Normalny 3 6 2 7 2 2" xfId="20511"/>
    <cellStyle name="Normalny 3 6 2 7 2 3" xfId="20512"/>
    <cellStyle name="Normalny 3 6 2 7 3" xfId="20513"/>
    <cellStyle name="Normalny 3 6 2 7 4" xfId="20514"/>
    <cellStyle name="Normalny 3 6 2 8" xfId="20515"/>
    <cellStyle name="Normalny 3 6 2 8 2" xfId="20516"/>
    <cellStyle name="Normalny 3 6 2 8 3" xfId="20517"/>
    <cellStyle name="Normalny 3 6 2 9" xfId="20518"/>
    <cellStyle name="Normalny 3 6 3" xfId="20519"/>
    <cellStyle name="Normalny 3 6 4" xfId="20520"/>
    <cellStyle name="Normalny 3 6 4 2" xfId="20521"/>
    <cellStyle name="Normalny 3 6 4 2 2" xfId="20522"/>
    <cellStyle name="Normalny 3 6 4 2 2 2" xfId="20523"/>
    <cellStyle name="Normalny 3 6 4 2 2 3" xfId="20524"/>
    <cellStyle name="Normalny 3 6 4 2 3" xfId="20525"/>
    <cellStyle name="Normalny 3 6 4 2 4" xfId="20526"/>
    <cellStyle name="Normalny 3 6 4 3" xfId="20527"/>
    <cellStyle name="Normalny 3 6 4 3 2" xfId="20528"/>
    <cellStyle name="Normalny 3 6 4 3 2 2" xfId="20529"/>
    <cellStyle name="Normalny 3 6 4 3 2 3" xfId="20530"/>
    <cellStyle name="Normalny 3 6 4 3 3" xfId="20531"/>
    <cellStyle name="Normalny 3 6 4 3 4" xfId="20532"/>
    <cellStyle name="Normalny 3 6 4 4" xfId="20533"/>
    <cellStyle name="Normalny 3 6 4 4 2" xfId="20534"/>
    <cellStyle name="Normalny 3 6 4 4 2 2" xfId="20535"/>
    <cellStyle name="Normalny 3 6 4 4 2 3" xfId="20536"/>
    <cellStyle name="Normalny 3 6 4 4 3" xfId="20537"/>
    <cellStyle name="Normalny 3 6 4 4 4" xfId="20538"/>
    <cellStyle name="Normalny 3 6 4 5" xfId="20539"/>
    <cellStyle name="Normalny 3 6 4 5 2" xfId="20540"/>
    <cellStyle name="Normalny 3 6 4 5 3" xfId="20541"/>
    <cellStyle name="Normalny 3 6 4 6" xfId="20542"/>
    <cellStyle name="Normalny 3 6 4 7" xfId="20543"/>
    <cellStyle name="Normalny 3 6 5" xfId="20544"/>
    <cellStyle name="Normalny 3 6 5 2" xfId="20545"/>
    <cellStyle name="Normalny 3 6 5 2 2" xfId="20546"/>
    <cellStyle name="Normalny 3 6 5 2 2 2" xfId="20547"/>
    <cellStyle name="Normalny 3 6 5 2 2 3" xfId="20548"/>
    <cellStyle name="Normalny 3 6 5 2 3" xfId="20549"/>
    <cellStyle name="Normalny 3 6 5 2 4" xfId="20550"/>
    <cellStyle name="Normalny 3 6 5 3" xfId="20551"/>
    <cellStyle name="Normalny 3 6 5 3 2" xfId="20552"/>
    <cellStyle name="Normalny 3 6 5 3 2 2" xfId="20553"/>
    <cellStyle name="Normalny 3 6 5 3 2 3" xfId="20554"/>
    <cellStyle name="Normalny 3 6 5 3 3" xfId="20555"/>
    <cellStyle name="Normalny 3 6 5 3 4" xfId="20556"/>
    <cellStyle name="Normalny 3 6 5 4" xfId="20557"/>
    <cellStyle name="Normalny 3 6 5 4 2" xfId="20558"/>
    <cellStyle name="Normalny 3 6 5 4 2 2" xfId="20559"/>
    <cellStyle name="Normalny 3 6 5 4 2 3" xfId="20560"/>
    <cellStyle name="Normalny 3 6 5 4 3" xfId="20561"/>
    <cellStyle name="Normalny 3 6 5 4 4" xfId="20562"/>
    <cellStyle name="Normalny 3 6 5 5" xfId="20563"/>
    <cellStyle name="Normalny 3 6 5 5 2" xfId="20564"/>
    <cellStyle name="Normalny 3 6 5 5 3" xfId="20565"/>
    <cellStyle name="Normalny 3 6 5 6" xfId="20566"/>
    <cellStyle name="Normalny 3 6 5 7" xfId="20567"/>
    <cellStyle name="Normalny 3 6 6" xfId="20568"/>
    <cellStyle name="Normalny 3 6 6 2" xfId="20569"/>
    <cellStyle name="Normalny 3 6 6 2 2" xfId="20570"/>
    <cellStyle name="Normalny 3 6 6 2 2 2" xfId="20571"/>
    <cellStyle name="Normalny 3 6 6 2 2 3" xfId="20572"/>
    <cellStyle name="Normalny 3 6 6 2 3" xfId="20573"/>
    <cellStyle name="Normalny 3 6 6 2 4" xfId="20574"/>
    <cellStyle name="Normalny 3 6 6 3" xfId="20575"/>
    <cellStyle name="Normalny 3 6 6 3 2" xfId="20576"/>
    <cellStyle name="Normalny 3 6 6 3 3" xfId="20577"/>
    <cellStyle name="Normalny 3 6 6 4" xfId="20578"/>
    <cellStyle name="Normalny 3 6 6 5" xfId="20579"/>
    <cellStyle name="Normalny 3 6 7" xfId="20580"/>
    <cellStyle name="Normalny 3 6 7 2" xfId="20581"/>
    <cellStyle name="Normalny 3 6 7 2 2" xfId="20582"/>
    <cellStyle name="Normalny 3 6 7 2 3" xfId="20583"/>
    <cellStyle name="Normalny 3 6 7 3" xfId="20584"/>
    <cellStyle name="Normalny 3 6 7 4" xfId="20585"/>
    <cellStyle name="Normalny 3 6 8" xfId="20586"/>
    <cellStyle name="Normalny 3 6 8 2" xfId="20587"/>
    <cellStyle name="Normalny 3 6 8 2 2" xfId="20588"/>
    <cellStyle name="Normalny 3 6 8 2 3" xfId="20589"/>
    <cellStyle name="Normalny 3 6 8 3" xfId="20590"/>
    <cellStyle name="Normalny 3 6 8 4" xfId="20591"/>
    <cellStyle name="Normalny 3 6 9" xfId="20592"/>
    <cellStyle name="Normalny 3 6 9 2" xfId="20593"/>
    <cellStyle name="Normalny 3 6 9 2 2" xfId="20594"/>
    <cellStyle name="Normalny 3 6 9 2 3" xfId="20595"/>
    <cellStyle name="Normalny 3 6 9 3" xfId="20596"/>
    <cellStyle name="Normalny 3 6 9 4" xfId="20597"/>
    <cellStyle name="Normalny 3 7" xfId="20598"/>
    <cellStyle name="Normalny 3 7 10" xfId="20599"/>
    <cellStyle name="Normalny 3 7 2" xfId="20600"/>
    <cellStyle name="Normalny 3 7 2 2" xfId="20601"/>
    <cellStyle name="Normalny 3 7 2 2 2" xfId="20602"/>
    <cellStyle name="Normalny 3 7 2 2 2 2" xfId="20603"/>
    <cellStyle name="Normalny 3 7 2 2 2 3" xfId="20604"/>
    <cellStyle name="Normalny 3 7 2 2 3" xfId="20605"/>
    <cellStyle name="Normalny 3 7 2 2 4" xfId="20606"/>
    <cellStyle name="Normalny 3 7 2 3" xfId="20607"/>
    <cellStyle name="Normalny 3 7 2 3 2" xfId="20608"/>
    <cellStyle name="Normalny 3 7 2 3 2 2" xfId="20609"/>
    <cellStyle name="Normalny 3 7 2 3 2 3" xfId="20610"/>
    <cellStyle name="Normalny 3 7 2 3 3" xfId="20611"/>
    <cellStyle name="Normalny 3 7 2 3 4" xfId="20612"/>
    <cellStyle name="Normalny 3 7 2 4" xfId="20613"/>
    <cellStyle name="Normalny 3 7 2 4 2" xfId="20614"/>
    <cellStyle name="Normalny 3 7 2 4 2 2" xfId="20615"/>
    <cellStyle name="Normalny 3 7 2 4 2 3" xfId="20616"/>
    <cellStyle name="Normalny 3 7 2 4 3" xfId="20617"/>
    <cellStyle name="Normalny 3 7 2 4 4" xfId="20618"/>
    <cellStyle name="Normalny 3 7 2 5" xfId="20619"/>
    <cellStyle name="Normalny 3 7 2 5 2" xfId="20620"/>
    <cellStyle name="Normalny 3 7 2 5 3" xfId="20621"/>
    <cellStyle name="Normalny 3 7 2 6" xfId="20622"/>
    <cellStyle name="Normalny 3 7 2 7" xfId="20623"/>
    <cellStyle name="Normalny 3 7 3" xfId="20624"/>
    <cellStyle name="Normalny 3 7 3 2" xfId="20625"/>
    <cellStyle name="Normalny 3 7 3 2 2" xfId="20626"/>
    <cellStyle name="Normalny 3 7 3 2 2 2" xfId="20627"/>
    <cellStyle name="Normalny 3 7 3 2 2 3" xfId="20628"/>
    <cellStyle name="Normalny 3 7 3 2 3" xfId="20629"/>
    <cellStyle name="Normalny 3 7 3 2 4" xfId="20630"/>
    <cellStyle name="Normalny 3 7 3 3" xfId="20631"/>
    <cellStyle name="Normalny 3 7 3 3 2" xfId="20632"/>
    <cellStyle name="Normalny 3 7 3 3 2 2" xfId="20633"/>
    <cellStyle name="Normalny 3 7 3 3 2 3" xfId="20634"/>
    <cellStyle name="Normalny 3 7 3 3 3" xfId="20635"/>
    <cellStyle name="Normalny 3 7 3 3 4" xfId="20636"/>
    <cellStyle name="Normalny 3 7 3 4" xfId="20637"/>
    <cellStyle name="Normalny 3 7 3 4 2" xfId="20638"/>
    <cellStyle name="Normalny 3 7 3 4 2 2" xfId="20639"/>
    <cellStyle name="Normalny 3 7 3 4 2 3" xfId="20640"/>
    <cellStyle name="Normalny 3 7 3 4 3" xfId="20641"/>
    <cellStyle name="Normalny 3 7 3 4 4" xfId="20642"/>
    <cellStyle name="Normalny 3 7 3 5" xfId="20643"/>
    <cellStyle name="Normalny 3 7 3 5 2" xfId="20644"/>
    <cellStyle name="Normalny 3 7 3 5 3" xfId="20645"/>
    <cellStyle name="Normalny 3 7 3 6" xfId="20646"/>
    <cellStyle name="Normalny 3 7 3 7" xfId="20647"/>
    <cellStyle name="Normalny 3 7 4" xfId="20648"/>
    <cellStyle name="Normalny 3 7 4 2" xfId="20649"/>
    <cellStyle name="Normalny 3 7 4 2 2" xfId="20650"/>
    <cellStyle name="Normalny 3 7 4 2 2 2" xfId="20651"/>
    <cellStyle name="Normalny 3 7 4 2 2 3" xfId="20652"/>
    <cellStyle name="Normalny 3 7 4 2 3" xfId="20653"/>
    <cellStyle name="Normalny 3 7 4 2 4" xfId="20654"/>
    <cellStyle name="Normalny 3 7 4 3" xfId="20655"/>
    <cellStyle name="Normalny 3 7 4 3 2" xfId="20656"/>
    <cellStyle name="Normalny 3 7 4 3 3" xfId="20657"/>
    <cellStyle name="Normalny 3 7 4 4" xfId="20658"/>
    <cellStyle name="Normalny 3 7 4 5" xfId="20659"/>
    <cellStyle name="Normalny 3 7 5" xfId="20660"/>
    <cellStyle name="Normalny 3 7 5 2" xfId="20661"/>
    <cellStyle name="Normalny 3 7 5 2 2" xfId="20662"/>
    <cellStyle name="Normalny 3 7 5 2 3" xfId="20663"/>
    <cellStyle name="Normalny 3 7 5 3" xfId="20664"/>
    <cellStyle name="Normalny 3 7 5 4" xfId="20665"/>
    <cellStyle name="Normalny 3 7 6" xfId="20666"/>
    <cellStyle name="Normalny 3 7 6 2" xfId="20667"/>
    <cellStyle name="Normalny 3 7 6 2 2" xfId="20668"/>
    <cellStyle name="Normalny 3 7 6 2 3" xfId="20669"/>
    <cellStyle name="Normalny 3 7 6 3" xfId="20670"/>
    <cellStyle name="Normalny 3 7 6 4" xfId="20671"/>
    <cellStyle name="Normalny 3 7 7" xfId="20672"/>
    <cellStyle name="Normalny 3 7 7 2" xfId="20673"/>
    <cellStyle name="Normalny 3 7 7 2 2" xfId="20674"/>
    <cellStyle name="Normalny 3 7 7 2 3" xfId="20675"/>
    <cellStyle name="Normalny 3 7 7 3" xfId="20676"/>
    <cellStyle name="Normalny 3 7 7 4" xfId="20677"/>
    <cellStyle name="Normalny 3 7 8" xfId="20678"/>
    <cellStyle name="Normalny 3 7 8 2" xfId="20679"/>
    <cellStyle name="Normalny 3 7 8 3" xfId="20680"/>
    <cellStyle name="Normalny 3 7 9" xfId="20681"/>
    <cellStyle name="Normalny 3 8" xfId="20682"/>
    <cellStyle name="Normalny 3 8 2" xfId="20683"/>
    <cellStyle name="Normalny 3 8 2 2" xfId="20684"/>
    <cellStyle name="Normalny 3 8 2 2 2" xfId="20685"/>
    <cellStyle name="Normalny 3 8 2 2 2 2" xfId="20686"/>
    <cellStyle name="Normalny 3 8 2 2 2 3" xfId="20687"/>
    <cellStyle name="Normalny 3 8 2 2 3" xfId="20688"/>
    <cellStyle name="Normalny 3 8 2 2 4" xfId="20689"/>
    <cellStyle name="Normalny 3 8 2 3" xfId="20690"/>
    <cellStyle name="Normalny 3 8 2 3 2" xfId="20691"/>
    <cellStyle name="Normalny 3 8 2 3 2 2" xfId="20692"/>
    <cellStyle name="Normalny 3 8 2 3 2 3" xfId="20693"/>
    <cellStyle name="Normalny 3 8 2 3 3" xfId="20694"/>
    <cellStyle name="Normalny 3 8 2 3 4" xfId="20695"/>
    <cellStyle name="Normalny 3 8 2 4" xfId="20696"/>
    <cellStyle name="Normalny 3 8 2 4 2" xfId="20697"/>
    <cellStyle name="Normalny 3 8 2 4 2 2" xfId="20698"/>
    <cellStyle name="Normalny 3 8 2 4 2 3" xfId="20699"/>
    <cellStyle name="Normalny 3 8 2 4 3" xfId="20700"/>
    <cellStyle name="Normalny 3 8 2 4 4" xfId="20701"/>
    <cellStyle name="Normalny 3 8 2 5" xfId="20702"/>
    <cellStyle name="Normalny 3 8 2 5 2" xfId="20703"/>
    <cellStyle name="Normalny 3 8 2 5 3" xfId="20704"/>
    <cellStyle name="Normalny 3 8 2 6" xfId="20705"/>
    <cellStyle name="Normalny 3 8 2 7" xfId="20706"/>
    <cellStyle name="Normalny 3 8 3" xfId="20707"/>
    <cellStyle name="Normalny 3 8 3 2" xfId="20708"/>
    <cellStyle name="Normalny 3 8 3 2 2" xfId="20709"/>
    <cellStyle name="Normalny 3 8 3 2 3" xfId="20710"/>
    <cellStyle name="Normalny 3 8 3 3" xfId="20711"/>
    <cellStyle name="Normalny 3 8 3 4" xfId="20712"/>
    <cellStyle name="Normalny 3 8 4" xfId="20713"/>
    <cellStyle name="Normalny 3 8 4 2" xfId="20714"/>
    <cellStyle name="Normalny 3 8 4 2 2" xfId="20715"/>
    <cellStyle name="Normalny 3 8 4 2 3" xfId="20716"/>
    <cellStyle name="Normalny 3 8 4 3" xfId="20717"/>
    <cellStyle name="Normalny 3 8 4 4" xfId="20718"/>
    <cellStyle name="Normalny 3 8 5" xfId="20719"/>
    <cellStyle name="Normalny 3 8 5 2" xfId="20720"/>
    <cellStyle name="Normalny 3 8 5 2 2" xfId="20721"/>
    <cellStyle name="Normalny 3 8 5 2 3" xfId="20722"/>
    <cellStyle name="Normalny 3 8 5 3" xfId="20723"/>
    <cellStyle name="Normalny 3 8 5 4" xfId="20724"/>
    <cellStyle name="Normalny 3 8 6" xfId="20725"/>
    <cellStyle name="Normalny 3 8 6 2" xfId="20726"/>
    <cellStyle name="Normalny 3 8 6 3" xfId="20727"/>
    <cellStyle name="Normalny 3 8 7" xfId="20728"/>
    <cellStyle name="Normalny 3 8 8" xfId="20729"/>
    <cellStyle name="Normalny 3 9" xfId="20730"/>
    <cellStyle name="Normalny 4" xfId="7"/>
    <cellStyle name="Normalny 4 2" xfId="8"/>
    <cellStyle name="Normalny 4 2 2" xfId="20732"/>
    <cellStyle name="Normalny 4 3" xfId="20733"/>
    <cellStyle name="Normalny 4 4" xfId="20734"/>
    <cellStyle name="Normalny 4 4 2" xfId="20735"/>
    <cellStyle name="Normalny 4 5" xfId="20736"/>
    <cellStyle name="Normalny 4 6" xfId="20737"/>
    <cellStyle name="Normalny 4 7" xfId="20731"/>
    <cellStyle name="Normalny 5" xfId="9"/>
    <cellStyle name="Normalny 5 2" xfId="20739"/>
    <cellStyle name="Normalny 5 2 2" xfId="20740"/>
    <cellStyle name="Normalny 5 3" xfId="20741"/>
    <cellStyle name="Normalny 5 4" xfId="20742"/>
    <cellStyle name="Normalny 5 5" xfId="20738"/>
    <cellStyle name="Normalny 6" xfId="13"/>
    <cellStyle name="Normalny 6 2" xfId="20743"/>
    <cellStyle name="Normalny 6 2 2" xfId="20744"/>
    <cellStyle name="Normalny 6 3" xfId="20745"/>
    <cellStyle name="Normalny 6 4" xfId="20746"/>
    <cellStyle name="Normalny 7" xfId="20747"/>
    <cellStyle name="Normalny 7 10" xfId="20748"/>
    <cellStyle name="Normalny 7 10 2" xfId="20749"/>
    <cellStyle name="Normalny 7 10 2 2" xfId="20750"/>
    <cellStyle name="Normalny 7 10 2 2 2" xfId="20751"/>
    <cellStyle name="Normalny 7 10 2 2 3" xfId="20752"/>
    <cellStyle name="Normalny 7 10 2 3" xfId="20753"/>
    <cellStyle name="Normalny 7 10 2 4" xfId="20754"/>
    <cellStyle name="Normalny 7 10 3" xfId="20755"/>
    <cellStyle name="Normalny 7 10 3 2" xfId="20756"/>
    <cellStyle name="Normalny 7 10 3 3" xfId="20757"/>
    <cellStyle name="Normalny 7 10 4" xfId="20758"/>
    <cellStyle name="Normalny 7 10 5" xfId="20759"/>
    <cellStyle name="Normalny 7 11" xfId="20760"/>
    <cellStyle name="Normalny 7 11 2" xfId="20761"/>
    <cellStyle name="Normalny 7 11 2 2" xfId="20762"/>
    <cellStyle name="Normalny 7 11 2 3" xfId="20763"/>
    <cellStyle name="Normalny 7 11 3" xfId="20764"/>
    <cellStyle name="Normalny 7 11 4" xfId="20765"/>
    <cellStyle name="Normalny 7 12" xfId="20766"/>
    <cellStyle name="Normalny 7 12 2" xfId="20767"/>
    <cellStyle name="Normalny 7 12 2 2" xfId="20768"/>
    <cellStyle name="Normalny 7 12 2 3" xfId="20769"/>
    <cellStyle name="Normalny 7 12 3" xfId="20770"/>
    <cellStyle name="Normalny 7 12 4" xfId="20771"/>
    <cellStyle name="Normalny 7 13" xfId="20772"/>
    <cellStyle name="Normalny 7 13 2" xfId="20773"/>
    <cellStyle name="Normalny 7 13 2 2" xfId="20774"/>
    <cellStyle name="Normalny 7 13 2 3" xfId="20775"/>
    <cellStyle name="Normalny 7 13 3" xfId="20776"/>
    <cellStyle name="Normalny 7 13 4" xfId="20777"/>
    <cellStyle name="Normalny 7 14" xfId="20778"/>
    <cellStyle name="Normalny 7 14 2" xfId="20779"/>
    <cellStyle name="Normalny 7 14 3" xfId="20780"/>
    <cellStyle name="Normalny 7 15" xfId="20781"/>
    <cellStyle name="Normalny 7 15 2" xfId="20782"/>
    <cellStyle name="Normalny 7 15 3" xfId="20783"/>
    <cellStyle name="Normalny 7 16" xfId="20784"/>
    <cellStyle name="Normalny 7 17" xfId="20785"/>
    <cellStyle name="Normalny 7 18" xfId="20786"/>
    <cellStyle name="Normalny 7 19" xfId="20787"/>
    <cellStyle name="Normalny 7 2" xfId="20788"/>
    <cellStyle name="Normalny 7 2 10" xfId="20789"/>
    <cellStyle name="Normalny 7 2 10 2" xfId="20790"/>
    <cellStyle name="Normalny 7 2 10 2 2" xfId="20791"/>
    <cellStyle name="Normalny 7 2 10 2 3" xfId="20792"/>
    <cellStyle name="Normalny 7 2 10 3" xfId="20793"/>
    <cellStyle name="Normalny 7 2 10 4" xfId="20794"/>
    <cellStyle name="Normalny 7 2 11" xfId="20795"/>
    <cellStyle name="Normalny 7 2 11 2" xfId="20796"/>
    <cellStyle name="Normalny 7 2 11 3" xfId="20797"/>
    <cellStyle name="Normalny 7 2 12" xfId="20798"/>
    <cellStyle name="Normalny 7 2 12 2" xfId="20799"/>
    <cellStyle name="Normalny 7 2 12 3" xfId="20800"/>
    <cellStyle name="Normalny 7 2 13" xfId="20801"/>
    <cellStyle name="Normalny 7 2 14" xfId="20802"/>
    <cellStyle name="Normalny 7 2 15" xfId="20803"/>
    <cellStyle name="Normalny 7 2 2" xfId="20804"/>
    <cellStyle name="Normalny 7 2 2 10" xfId="20805"/>
    <cellStyle name="Normalny 7 2 2 11" xfId="20806"/>
    <cellStyle name="Normalny 7 2 2 2" xfId="20807"/>
    <cellStyle name="Normalny 7 2 2 2 2" xfId="20808"/>
    <cellStyle name="Normalny 7 2 2 2 2 2" xfId="20809"/>
    <cellStyle name="Normalny 7 2 2 2 2 2 2" xfId="20810"/>
    <cellStyle name="Normalny 7 2 2 2 2 2 2 2" xfId="20811"/>
    <cellStyle name="Normalny 7 2 2 2 2 2 2 3" xfId="20812"/>
    <cellStyle name="Normalny 7 2 2 2 2 2 3" xfId="20813"/>
    <cellStyle name="Normalny 7 2 2 2 2 2 4" xfId="20814"/>
    <cellStyle name="Normalny 7 2 2 2 2 3" xfId="20815"/>
    <cellStyle name="Normalny 7 2 2 2 2 3 2" xfId="20816"/>
    <cellStyle name="Normalny 7 2 2 2 2 3 2 2" xfId="20817"/>
    <cellStyle name="Normalny 7 2 2 2 2 3 2 3" xfId="20818"/>
    <cellStyle name="Normalny 7 2 2 2 2 3 3" xfId="20819"/>
    <cellStyle name="Normalny 7 2 2 2 2 3 4" xfId="20820"/>
    <cellStyle name="Normalny 7 2 2 2 2 4" xfId="20821"/>
    <cellStyle name="Normalny 7 2 2 2 2 4 2" xfId="20822"/>
    <cellStyle name="Normalny 7 2 2 2 2 4 2 2" xfId="20823"/>
    <cellStyle name="Normalny 7 2 2 2 2 4 2 3" xfId="20824"/>
    <cellStyle name="Normalny 7 2 2 2 2 4 3" xfId="20825"/>
    <cellStyle name="Normalny 7 2 2 2 2 4 4" xfId="20826"/>
    <cellStyle name="Normalny 7 2 2 2 2 5" xfId="20827"/>
    <cellStyle name="Normalny 7 2 2 2 2 5 2" xfId="20828"/>
    <cellStyle name="Normalny 7 2 2 2 2 5 3" xfId="20829"/>
    <cellStyle name="Normalny 7 2 2 2 2 6" xfId="20830"/>
    <cellStyle name="Normalny 7 2 2 2 2 7" xfId="20831"/>
    <cellStyle name="Normalny 7 2 2 2 3" xfId="20832"/>
    <cellStyle name="Normalny 7 2 2 2 3 2" xfId="20833"/>
    <cellStyle name="Normalny 7 2 2 2 3 2 2" xfId="20834"/>
    <cellStyle name="Normalny 7 2 2 2 3 2 2 2" xfId="20835"/>
    <cellStyle name="Normalny 7 2 2 2 3 2 2 3" xfId="20836"/>
    <cellStyle name="Normalny 7 2 2 2 3 2 3" xfId="20837"/>
    <cellStyle name="Normalny 7 2 2 2 3 2 4" xfId="20838"/>
    <cellStyle name="Normalny 7 2 2 2 3 3" xfId="20839"/>
    <cellStyle name="Normalny 7 2 2 2 3 3 2" xfId="20840"/>
    <cellStyle name="Normalny 7 2 2 2 3 3 2 2" xfId="20841"/>
    <cellStyle name="Normalny 7 2 2 2 3 3 2 3" xfId="20842"/>
    <cellStyle name="Normalny 7 2 2 2 3 3 3" xfId="20843"/>
    <cellStyle name="Normalny 7 2 2 2 3 3 4" xfId="20844"/>
    <cellStyle name="Normalny 7 2 2 2 3 4" xfId="20845"/>
    <cellStyle name="Normalny 7 2 2 2 3 4 2" xfId="20846"/>
    <cellStyle name="Normalny 7 2 2 2 3 4 2 2" xfId="20847"/>
    <cellStyle name="Normalny 7 2 2 2 3 4 2 3" xfId="20848"/>
    <cellStyle name="Normalny 7 2 2 2 3 4 3" xfId="20849"/>
    <cellStyle name="Normalny 7 2 2 2 3 4 4" xfId="20850"/>
    <cellStyle name="Normalny 7 2 2 2 3 5" xfId="20851"/>
    <cellStyle name="Normalny 7 2 2 2 3 5 2" xfId="20852"/>
    <cellStyle name="Normalny 7 2 2 2 3 5 3" xfId="20853"/>
    <cellStyle name="Normalny 7 2 2 2 3 6" xfId="20854"/>
    <cellStyle name="Normalny 7 2 2 2 3 7" xfId="20855"/>
    <cellStyle name="Normalny 7 2 2 2 4" xfId="20856"/>
    <cellStyle name="Normalny 7 2 2 2 4 2" xfId="20857"/>
    <cellStyle name="Normalny 7 2 2 2 4 2 2" xfId="20858"/>
    <cellStyle name="Normalny 7 2 2 2 4 2 3" xfId="20859"/>
    <cellStyle name="Normalny 7 2 2 2 4 3" xfId="20860"/>
    <cellStyle name="Normalny 7 2 2 2 4 4" xfId="20861"/>
    <cellStyle name="Normalny 7 2 2 2 5" xfId="20862"/>
    <cellStyle name="Normalny 7 2 2 2 5 2" xfId="20863"/>
    <cellStyle name="Normalny 7 2 2 2 5 2 2" xfId="20864"/>
    <cellStyle name="Normalny 7 2 2 2 5 2 3" xfId="20865"/>
    <cellStyle name="Normalny 7 2 2 2 5 3" xfId="20866"/>
    <cellStyle name="Normalny 7 2 2 2 5 4" xfId="20867"/>
    <cellStyle name="Normalny 7 2 2 2 6" xfId="20868"/>
    <cellStyle name="Normalny 7 2 2 2 6 2" xfId="20869"/>
    <cellStyle name="Normalny 7 2 2 2 6 2 2" xfId="20870"/>
    <cellStyle name="Normalny 7 2 2 2 6 2 3" xfId="20871"/>
    <cellStyle name="Normalny 7 2 2 2 6 3" xfId="20872"/>
    <cellStyle name="Normalny 7 2 2 2 6 4" xfId="20873"/>
    <cellStyle name="Normalny 7 2 2 2 7" xfId="20874"/>
    <cellStyle name="Normalny 7 2 2 2 7 2" xfId="20875"/>
    <cellStyle name="Normalny 7 2 2 2 7 3" xfId="20876"/>
    <cellStyle name="Normalny 7 2 2 2 8" xfId="20877"/>
    <cellStyle name="Normalny 7 2 2 2 9" xfId="20878"/>
    <cellStyle name="Normalny 7 2 2 3" xfId="20879"/>
    <cellStyle name="Normalny 7 2 2 3 2" xfId="20880"/>
    <cellStyle name="Normalny 7 2 2 3 2 2" xfId="20881"/>
    <cellStyle name="Normalny 7 2 2 3 2 2 2" xfId="20882"/>
    <cellStyle name="Normalny 7 2 2 3 2 2 3" xfId="20883"/>
    <cellStyle name="Normalny 7 2 2 3 2 3" xfId="20884"/>
    <cellStyle name="Normalny 7 2 2 3 2 4" xfId="20885"/>
    <cellStyle name="Normalny 7 2 2 3 3" xfId="20886"/>
    <cellStyle name="Normalny 7 2 2 3 3 2" xfId="20887"/>
    <cellStyle name="Normalny 7 2 2 3 3 2 2" xfId="20888"/>
    <cellStyle name="Normalny 7 2 2 3 3 2 3" xfId="20889"/>
    <cellStyle name="Normalny 7 2 2 3 3 3" xfId="20890"/>
    <cellStyle name="Normalny 7 2 2 3 3 4" xfId="20891"/>
    <cellStyle name="Normalny 7 2 2 3 4" xfId="20892"/>
    <cellStyle name="Normalny 7 2 2 3 4 2" xfId="20893"/>
    <cellStyle name="Normalny 7 2 2 3 4 2 2" xfId="20894"/>
    <cellStyle name="Normalny 7 2 2 3 4 2 3" xfId="20895"/>
    <cellStyle name="Normalny 7 2 2 3 4 3" xfId="20896"/>
    <cellStyle name="Normalny 7 2 2 3 4 4" xfId="20897"/>
    <cellStyle name="Normalny 7 2 2 3 5" xfId="20898"/>
    <cellStyle name="Normalny 7 2 2 3 5 2" xfId="20899"/>
    <cellStyle name="Normalny 7 2 2 3 5 3" xfId="20900"/>
    <cellStyle name="Normalny 7 2 2 3 6" xfId="20901"/>
    <cellStyle name="Normalny 7 2 2 3 7" xfId="20902"/>
    <cellStyle name="Normalny 7 2 2 4" xfId="20903"/>
    <cellStyle name="Normalny 7 2 2 4 2" xfId="20904"/>
    <cellStyle name="Normalny 7 2 2 4 2 2" xfId="20905"/>
    <cellStyle name="Normalny 7 2 2 4 2 2 2" xfId="20906"/>
    <cellStyle name="Normalny 7 2 2 4 2 2 3" xfId="20907"/>
    <cellStyle name="Normalny 7 2 2 4 2 3" xfId="20908"/>
    <cellStyle name="Normalny 7 2 2 4 2 4" xfId="20909"/>
    <cellStyle name="Normalny 7 2 2 4 3" xfId="20910"/>
    <cellStyle name="Normalny 7 2 2 4 3 2" xfId="20911"/>
    <cellStyle name="Normalny 7 2 2 4 3 2 2" xfId="20912"/>
    <cellStyle name="Normalny 7 2 2 4 3 2 3" xfId="20913"/>
    <cellStyle name="Normalny 7 2 2 4 3 3" xfId="20914"/>
    <cellStyle name="Normalny 7 2 2 4 3 4" xfId="20915"/>
    <cellStyle name="Normalny 7 2 2 4 4" xfId="20916"/>
    <cellStyle name="Normalny 7 2 2 4 4 2" xfId="20917"/>
    <cellStyle name="Normalny 7 2 2 4 4 2 2" xfId="20918"/>
    <cellStyle name="Normalny 7 2 2 4 4 2 3" xfId="20919"/>
    <cellStyle name="Normalny 7 2 2 4 4 3" xfId="20920"/>
    <cellStyle name="Normalny 7 2 2 4 4 4" xfId="20921"/>
    <cellStyle name="Normalny 7 2 2 4 5" xfId="20922"/>
    <cellStyle name="Normalny 7 2 2 4 5 2" xfId="20923"/>
    <cellStyle name="Normalny 7 2 2 4 5 3" xfId="20924"/>
    <cellStyle name="Normalny 7 2 2 4 6" xfId="20925"/>
    <cellStyle name="Normalny 7 2 2 4 7" xfId="20926"/>
    <cellStyle name="Normalny 7 2 2 5" xfId="20927"/>
    <cellStyle name="Normalny 7 2 2 5 2" xfId="20928"/>
    <cellStyle name="Normalny 7 2 2 5 2 2" xfId="20929"/>
    <cellStyle name="Normalny 7 2 2 5 2 2 2" xfId="20930"/>
    <cellStyle name="Normalny 7 2 2 5 2 2 3" xfId="20931"/>
    <cellStyle name="Normalny 7 2 2 5 2 3" xfId="20932"/>
    <cellStyle name="Normalny 7 2 2 5 2 4" xfId="20933"/>
    <cellStyle name="Normalny 7 2 2 5 3" xfId="20934"/>
    <cellStyle name="Normalny 7 2 2 5 3 2" xfId="20935"/>
    <cellStyle name="Normalny 7 2 2 5 3 3" xfId="20936"/>
    <cellStyle name="Normalny 7 2 2 5 4" xfId="20937"/>
    <cellStyle name="Normalny 7 2 2 5 5" xfId="20938"/>
    <cellStyle name="Normalny 7 2 2 6" xfId="20939"/>
    <cellStyle name="Normalny 7 2 2 6 2" xfId="20940"/>
    <cellStyle name="Normalny 7 2 2 6 2 2" xfId="20941"/>
    <cellStyle name="Normalny 7 2 2 6 2 3" xfId="20942"/>
    <cellStyle name="Normalny 7 2 2 6 3" xfId="20943"/>
    <cellStyle name="Normalny 7 2 2 6 4" xfId="20944"/>
    <cellStyle name="Normalny 7 2 2 7" xfId="20945"/>
    <cellStyle name="Normalny 7 2 2 7 2" xfId="20946"/>
    <cellStyle name="Normalny 7 2 2 7 2 2" xfId="20947"/>
    <cellStyle name="Normalny 7 2 2 7 2 3" xfId="20948"/>
    <cellStyle name="Normalny 7 2 2 7 3" xfId="20949"/>
    <cellStyle name="Normalny 7 2 2 7 4" xfId="20950"/>
    <cellStyle name="Normalny 7 2 2 8" xfId="20951"/>
    <cellStyle name="Normalny 7 2 2 8 2" xfId="20952"/>
    <cellStyle name="Normalny 7 2 2 8 2 2" xfId="20953"/>
    <cellStyle name="Normalny 7 2 2 8 2 3" xfId="20954"/>
    <cellStyle name="Normalny 7 2 2 8 3" xfId="20955"/>
    <cellStyle name="Normalny 7 2 2 8 4" xfId="20956"/>
    <cellStyle name="Normalny 7 2 2 9" xfId="20957"/>
    <cellStyle name="Normalny 7 2 2 9 2" xfId="20958"/>
    <cellStyle name="Normalny 7 2 2 9 3" xfId="20959"/>
    <cellStyle name="Normalny 7 2 3" xfId="20960"/>
    <cellStyle name="Normalny 7 2 3 10" xfId="20961"/>
    <cellStyle name="Normalny 7 2 3 2" xfId="20962"/>
    <cellStyle name="Normalny 7 2 3 2 2" xfId="20963"/>
    <cellStyle name="Normalny 7 2 3 2 2 2" xfId="20964"/>
    <cellStyle name="Normalny 7 2 3 2 2 2 2" xfId="20965"/>
    <cellStyle name="Normalny 7 2 3 2 2 2 3" xfId="20966"/>
    <cellStyle name="Normalny 7 2 3 2 2 3" xfId="20967"/>
    <cellStyle name="Normalny 7 2 3 2 2 4" xfId="20968"/>
    <cellStyle name="Normalny 7 2 3 2 3" xfId="20969"/>
    <cellStyle name="Normalny 7 2 3 2 3 2" xfId="20970"/>
    <cellStyle name="Normalny 7 2 3 2 3 2 2" xfId="20971"/>
    <cellStyle name="Normalny 7 2 3 2 3 2 3" xfId="20972"/>
    <cellStyle name="Normalny 7 2 3 2 3 3" xfId="20973"/>
    <cellStyle name="Normalny 7 2 3 2 3 4" xfId="20974"/>
    <cellStyle name="Normalny 7 2 3 2 4" xfId="20975"/>
    <cellStyle name="Normalny 7 2 3 2 4 2" xfId="20976"/>
    <cellStyle name="Normalny 7 2 3 2 4 2 2" xfId="20977"/>
    <cellStyle name="Normalny 7 2 3 2 4 2 3" xfId="20978"/>
    <cellStyle name="Normalny 7 2 3 2 4 3" xfId="20979"/>
    <cellStyle name="Normalny 7 2 3 2 4 4" xfId="20980"/>
    <cellStyle name="Normalny 7 2 3 2 5" xfId="20981"/>
    <cellStyle name="Normalny 7 2 3 2 5 2" xfId="20982"/>
    <cellStyle name="Normalny 7 2 3 2 5 3" xfId="20983"/>
    <cellStyle name="Normalny 7 2 3 2 6" xfId="20984"/>
    <cellStyle name="Normalny 7 2 3 2 7" xfId="20985"/>
    <cellStyle name="Normalny 7 2 3 3" xfId="20986"/>
    <cellStyle name="Normalny 7 2 3 3 2" xfId="20987"/>
    <cellStyle name="Normalny 7 2 3 3 2 2" xfId="20988"/>
    <cellStyle name="Normalny 7 2 3 3 2 2 2" xfId="20989"/>
    <cellStyle name="Normalny 7 2 3 3 2 2 3" xfId="20990"/>
    <cellStyle name="Normalny 7 2 3 3 2 3" xfId="20991"/>
    <cellStyle name="Normalny 7 2 3 3 2 4" xfId="20992"/>
    <cellStyle name="Normalny 7 2 3 3 3" xfId="20993"/>
    <cellStyle name="Normalny 7 2 3 3 3 2" xfId="20994"/>
    <cellStyle name="Normalny 7 2 3 3 3 2 2" xfId="20995"/>
    <cellStyle name="Normalny 7 2 3 3 3 2 3" xfId="20996"/>
    <cellStyle name="Normalny 7 2 3 3 3 3" xfId="20997"/>
    <cellStyle name="Normalny 7 2 3 3 3 4" xfId="20998"/>
    <cellStyle name="Normalny 7 2 3 3 4" xfId="20999"/>
    <cellStyle name="Normalny 7 2 3 3 4 2" xfId="21000"/>
    <cellStyle name="Normalny 7 2 3 3 4 2 2" xfId="21001"/>
    <cellStyle name="Normalny 7 2 3 3 4 2 3" xfId="21002"/>
    <cellStyle name="Normalny 7 2 3 3 4 3" xfId="21003"/>
    <cellStyle name="Normalny 7 2 3 3 4 4" xfId="21004"/>
    <cellStyle name="Normalny 7 2 3 3 5" xfId="21005"/>
    <cellStyle name="Normalny 7 2 3 3 5 2" xfId="21006"/>
    <cellStyle name="Normalny 7 2 3 3 5 3" xfId="21007"/>
    <cellStyle name="Normalny 7 2 3 3 6" xfId="21008"/>
    <cellStyle name="Normalny 7 2 3 3 7" xfId="21009"/>
    <cellStyle name="Normalny 7 2 3 4" xfId="21010"/>
    <cellStyle name="Normalny 7 2 3 4 2" xfId="21011"/>
    <cellStyle name="Normalny 7 2 3 4 2 2" xfId="21012"/>
    <cellStyle name="Normalny 7 2 3 4 2 2 2" xfId="21013"/>
    <cellStyle name="Normalny 7 2 3 4 2 2 3" xfId="21014"/>
    <cellStyle name="Normalny 7 2 3 4 2 3" xfId="21015"/>
    <cellStyle name="Normalny 7 2 3 4 2 4" xfId="21016"/>
    <cellStyle name="Normalny 7 2 3 4 3" xfId="21017"/>
    <cellStyle name="Normalny 7 2 3 4 3 2" xfId="21018"/>
    <cellStyle name="Normalny 7 2 3 4 3 3" xfId="21019"/>
    <cellStyle name="Normalny 7 2 3 4 4" xfId="21020"/>
    <cellStyle name="Normalny 7 2 3 4 5" xfId="21021"/>
    <cellStyle name="Normalny 7 2 3 5" xfId="21022"/>
    <cellStyle name="Normalny 7 2 3 5 2" xfId="21023"/>
    <cellStyle name="Normalny 7 2 3 5 2 2" xfId="21024"/>
    <cellStyle name="Normalny 7 2 3 5 2 3" xfId="21025"/>
    <cellStyle name="Normalny 7 2 3 5 3" xfId="21026"/>
    <cellStyle name="Normalny 7 2 3 5 4" xfId="21027"/>
    <cellStyle name="Normalny 7 2 3 6" xfId="21028"/>
    <cellStyle name="Normalny 7 2 3 6 2" xfId="21029"/>
    <cellStyle name="Normalny 7 2 3 6 2 2" xfId="21030"/>
    <cellStyle name="Normalny 7 2 3 6 2 3" xfId="21031"/>
    <cellStyle name="Normalny 7 2 3 6 3" xfId="21032"/>
    <cellStyle name="Normalny 7 2 3 6 4" xfId="21033"/>
    <cellStyle name="Normalny 7 2 3 7" xfId="21034"/>
    <cellStyle name="Normalny 7 2 3 7 2" xfId="21035"/>
    <cellStyle name="Normalny 7 2 3 7 2 2" xfId="21036"/>
    <cellStyle name="Normalny 7 2 3 7 2 3" xfId="21037"/>
    <cellStyle name="Normalny 7 2 3 7 3" xfId="21038"/>
    <cellStyle name="Normalny 7 2 3 7 4" xfId="21039"/>
    <cellStyle name="Normalny 7 2 3 8" xfId="21040"/>
    <cellStyle name="Normalny 7 2 3 8 2" xfId="21041"/>
    <cellStyle name="Normalny 7 2 3 8 3" xfId="21042"/>
    <cellStyle name="Normalny 7 2 3 9" xfId="21043"/>
    <cellStyle name="Normalny 7 2 4" xfId="21044"/>
    <cellStyle name="Normalny 7 2 4 2" xfId="21045"/>
    <cellStyle name="Normalny 7 2 4 2 2" xfId="21046"/>
    <cellStyle name="Normalny 7 2 4 2 2 2" xfId="21047"/>
    <cellStyle name="Normalny 7 2 4 2 2 2 2" xfId="21048"/>
    <cellStyle name="Normalny 7 2 4 2 2 2 3" xfId="21049"/>
    <cellStyle name="Normalny 7 2 4 2 2 3" xfId="21050"/>
    <cellStyle name="Normalny 7 2 4 2 2 4" xfId="21051"/>
    <cellStyle name="Normalny 7 2 4 2 3" xfId="21052"/>
    <cellStyle name="Normalny 7 2 4 2 3 2" xfId="21053"/>
    <cellStyle name="Normalny 7 2 4 2 3 2 2" xfId="21054"/>
    <cellStyle name="Normalny 7 2 4 2 3 2 3" xfId="21055"/>
    <cellStyle name="Normalny 7 2 4 2 3 3" xfId="21056"/>
    <cellStyle name="Normalny 7 2 4 2 3 4" xfId="21057"/>
    <cellStyle name="Normalny 7 2 4 2 4" xfId="21058"/>
    <cellStyle name="Normalny 7 2 4 2 4 2" xfId="21059"/>
    <cellStyle name="Normalny 7 2 4 2 4 2 2" xfId="21060"/>
    <cellStyle name="Normalny 7 2 4 2 4 2 3" xfId="21061"/>
    <cellStyle name="Normalny 7 2 4 2 4 3" xfId="21062"/>
    <cellStyle name="Normalny 7 2 4 2 4 4" xfId="21063"/>
    <cellStyle name="Normalny 7 2 4 2 5" xfId="21064"/>
    <cellStyle name="Normalny 7 2 4 2 5 2" xfId="21065"/>
    <cellStyle name="Normalny 7 2 4 2 5 3" xfId="21066"/>
    <cellStyle name="Normalny 7 2 4 2 6" xfId="21067"/>
    <cellStyle name="Normalny 7 2 4 2 7" xfId="21068"/>
    <cellStyle name="Normalny 7 2 4 3" xfId="21069"/>
    <cellStyle name="Normalny 7 2 4 3 2" xfId="21070"/>
    <cellStyle name="Normalny 7 2 4 3 2 2" xfId="21071"/>
    <cellStyle name="Normalny 7 2 4 3 2 2 2" xfId="21072"/>
    <cellStyle name="Normalny 7 2 4 3 2 2 3" xfId="21073"/>
    <cellStyle name="Normalny 7 2 4 3 2 3" xfId="21074"/>
    <cellStyle name="Normalny 7 2 4 3 2 4" xfId="21075"/>
    <cellStyle name="Normalny 7 2 4 3 3" xfId="21076"/>
    <cellStyle name="Normalny 7 2 4 3 3 2" xfId="21077"/>
    <cellStyle name="Normalny 7 2 4 3 3 2 2" xfId="21078"/>
    <cellStyle name="Normalny 7 2 4 3 3 2 3" xfId="21079"/>
    <cellStyle name="Normalny 7 2 4 3 3 3" xfId="21080"/>
    <cellStyle name="Normalny 7 2 4 3 3 4" xfId="21081"/>
    <cellStyle name="Normalny 7 2 4 3 4" xfId="21082"/>
    <cellStyle name="Normalny 7 2 4 3 4 2" xfId="21083"/>
    <cellStyle name="Normalny 7 2 4 3 4 2 2" xfId="21084"/>
    <cellStyle name="Normalny 7 2 4 3 4 2 3" xfId="21085"/>
    <cellStyle name="Normalny 7 2 4 3 4 3" xfId="21086"/>
    <cellStyle name="Normalny 7 2 4 3 4 4" xfId="21087"/>
    <cellStyle name="Normalny 7 2 4 3 5" xfId="21088"/>
    <cellStyle name="Normalny 7 2 4 3 5 2" xfId="21089"/>
    <cellStyle name="Normalny 7 2 4 3 5 3" xfId="21090"/>
    <cellStyle name="Normalny 7 2 4 3 6" xfId="21091"/>
    <cellStyle name="Normalny 7 2 4 3 7" xfId="21092"/>
    <cellStyle name="Normalny 7 2 4 4" xfId="21093"/>
    <cellStyle name="Normalny 7 2 4 4 2" xfId="21094"/>
    <cellStyle name="Normalny 7 2 4 4 2 2" xfId="21095"/>
    <cellStyle name="Normalny 7 2 4 4 2 3" xfId="21096"/>
    <cellStyle name="Normalny 7 2 4 4 3" xfId="21097"/>
    <cellStyle name="Normalny 7 2 4 4 4" xfId="21098"/>
    <cellStyle name="Normalny 7 2 4 5" xfId="21099"/>
    <cellStyle name="Normalny 7 2 4 5 2" xfId="21100"/>
    <cellStyle name="Normalny 7 2 4 5 2 2" xfId="21101"/>
    <cellStyle name="Normalny 7 2 4 5 2 3" xfId="21102"/>
    <cellStyle name="Normalny 7 2 4 5 3" xfId="21103"/>
    <cellStyle name="Normalny 7 2 4 5 4" xfId="21104"/>
    <cellStyle name="Normalny 7 2 4 6" xfId="21105"/>
    <cellStyle name="Normalny 7 2 4 6 2" xfId="21106"/>
    <cellStyle name="Normalny 7 2 4 6 2 2" xfId="21107"/>
    <cellStyle name="Normalny 7 2 4 6 2 3" xfId="21108"/>
    <cellStyle name="Normalny 7 2 4 6 3" xfId="21109"/>
    <cellStyle name="Normalny 7 2 4 6 4" xfId="21110"/>
    <cellStyle name="Normalny 7 2 4 7" xfId="21111"/>
    <cellStyle name="Normalny 7 2 4 7 2" xfId="21112"/>
    <cellStyle name="Normalny 7 2 4 7 3" xfId="21113"/>
    <cellStyle name="Normalny 7 2 4 8" xfId="21114"/>
    <cellStyle name="Normalny 7 2 4 9" xfId="21115"/>
    <cellStyle name="Normalny 7 2 5" xfId="21116"/>
    <cellStyle name="Normalny 7 2 5 2" xfId="21117"/>
    <cellStyle name="Normalny 7 2 5 2 2" xfId="21118"/>
    <cellStyle name="Normalny 7 2 5 2 2 2" xfId="21119"/>
    <cellStyle name="Normalny 7 2 5 2 2 3" xfId="21120"/>
    <cellStyle name="Normalny 7 2 5 2 3" xfId="21121"/>
    <cellStyle name="Normalny 7 2 5 2 4" xfId="21122"/>
    <cellStyle name="Normalny 7 2 5 3" xfId="21123"/>
    <cellStyle name="Normalny 7 2 5 3 2" xfId="21124"/>
    <cellStyle name="Normalny 7 2 5 3 2 2" xfId="21125"/>
    <cellStyle name="Normalny 7 2 5 3 2 3" xfId="21126"/>
    <cellStyle name="Normalny 7 2 5 3 3" xfId="21127"/>
    <cellStyle name="Normalny 7 2 5 3 4" xfId="21128"/>
    <cellStyle name="Normalny 7 2 5 4" xfId="21129"/>
    <cellStyle name="Normalny 7 2 5 4 2" xfId="21130"/>
    <cellStyle name="Normalny 7 2 5 4 2 2" xfId="21131"/>
    <cellStyle name="Normalny 7 2 5 4 2 3" xfId="21132"/>
    <cellStyle name="Normalny 7 2 5 4 3" xfId="21133"/>
    <cellStyle name="Normalny 7 2 5 4 4" xfId="21134"/>
    <cellStyle name="Normalny 7 2 5 5" xfId="21135"/>
    <cellStyle name="Normalny 7 2 5 5 2" xfId="21136"/>
    <cellStyle name="Normalny 7 2 5 5 3" xfId="21137"/>
    <cellStyle name="Normalny 7 2 5 6" xfId="21138"/>
    <cellStyle name="Normalny 7 2 5 7" xfId="21139"/>
    <cellStyle name="Normalny 7 2 6" xfId="21140"/>
    <cellStyle name="Normalny 7 2 6 2" xfId="21141"/>
    <cellStyle name="Normalny 7 2 6 2 2" xfId="21142"/>
    <cellStyle name="Normalny 7 2 6 2 2 2" xfId="21143"/>
    <cellStyle name="Normalny 7 2 6 2 2 3" xfId="21144"/>
    <cellStyle name="Normalny 7 2 6 2 3" xfId="21145"/>
    <cellStyle name="Normalny 7 2 6 2 4" xfId="21146"/>
    <cellStyle name="Normalny 7 2 6 3" xfId="21147"/>
    <cellStyle name="Normalny 7 2 6 3 2" xfId="21148"/>
    <cellStyle name="Normalny 7 2 6 3 2 2" xfId="21149"/>
    <cellStyle name="Normalny 7 2 6 3 2 3" xfId="21150"/>
    <cellStyle name="Normalny 7 2 6 3 3" xfId="21151"/>
    <cellStyle name="Normalny 7 2 6 3 4" xfId="21152"/>
    <cellStyle name="Normalny 7 2 6 4" xfId="21153"/>
    <cellStyle name="Normalny 7 2 6 4 2" xfId="21154"/>
    <cellStyle name="Normalny 7 2 6 4 2 2" xfId="21155"/>
    <cellStyle name="Normalny 7 2 6 4 2 3" xfId="21156"/>
    <cellStyle name="Normalny 7 2 6 4 3" xfId="21157"/>
    <cellStyle name="Normalny 7 2 6 4 4" xfId="21158"/>
    <cellStyle name="Normalny 7 2 6 5" xfId="21159"/>
    <cellStyle name="Normalny 7 2 6 5 2" xfId="21160"/>
    <cellStyle name="Normalny 7 2 6 5 3" xfId="21161"/>
    <cellStyle name="Normalny 7 2 6 6" xfId="21162"/>
    <cellStyle name="Normalny 7 2 6 7" xfId="21163"/>
    <cellStyle name="Normalny 7 2 7" xfId="21164"/>
    <cellStyle name="Normalny 7 2 7 2" xfId="21165"/>
    <cellStyle name="Normalny 7 2 7 2 2" xfId="21166"/>
    <cellStyle name="Normalny 7 2 7 2 2 2" xfId="21167"/>
    <cellStyle name="Normalny 7 2 7 2 2 3" xfId="21168"/>
    <cellStyle name="Normalny 7 2 7 2 3" xfId="21169"/>
    <cellStyle name="Normalny 7 2 7 2 4" xfId="21170"/>
    <cellStyle name="Normalny 7 2 7 3" xfId="21171"/>
    <cellStyle name="Normalny 7 2 7 3 2" xfId="21172"/>
    <cellStyle name="Normalny 7 2 7 3 3" xfId="21173"/>
    <cellStyle name="Normalny 7 2 7 4" xfId="21174"/>
    <cellStyle name="Normalny 7 2 7 5" xfId="21175"/>
    <cellStyle name="Normalny 7 2 8" xfId="21176"/>
    <cellStyle name="Normalny 7 2 8 2" xfId="21177"/>
    <cellStyle name="Normalny 7 2 8 2 2" xfId="21178"/>
    <cellStyle name="Normalny 7 2 8 2 3" xfId="21179"/>
    <cellStyle name="Normalny 7 2 8 3" xfId="21180"/>
    <cellStyle name="Normalny 7 2 8 4" xfId="21181"/>
    <cellStyle name="Normalny 7 2 9" xfId="21182"/>
    <cellStyle name="Normalny 7 2 9 2" xfId="21183"/>
    <cellStyle name="Normalny 7 2 9 2 2" xfId="21184"/>
    <cellStyle name="Normalny 7 2 9 2 3" xfId="21185"/>
    <cellStyle name="Normalny 7 2 9 3" xfId="21186"/>
    <cellStyle name="Normalny 7 2 9 4" xfId="21187"/>
    <cellStyle name="Normalny 7 20" xfId="21188"/>
    <cellStyle name="Normalny 7 21" xfId="21189"/>
    <cellStyle name="Normalny 7 3" xfId="21190"/>
    <cellStyle name="Normalny 7 3 10" xfId="21191"/>
    <cellStyle name="Normalny 7 3 11" xfId="21192"/>
    <cellStyle name="Normalny 7 3 2" xfId="21193"/>
    <cellStyle name="Normalny 7 3 2 10" xfId="21194"/>
    <cellStyle name="Normalny 7 3 2 2" xfId="21195"/>
    <cellStyle name="Normalny 7 3 2 2 2" xfId="21196"/>
    <cellStyle name="Normalny 7 3 2 2 2 2" xfId="21197"/>
    <cellStyle name="Normalny 7 3 2 2 2 2 2" xfId="21198"/>
    <cellStyle name="Normalny 7 3 2 2 2 2 3" xfId="21199"/>
    <cellStyle name="Normalny 7 3 2 2 2 3" xfId="21200"/>
    <cellStyle name="Normalny 7 3 2 2 2 4" xfId="21201"/>
    <cellStyle name="Normalny 7 3 2 2 3" xfId="21202"/>
    <cellStyle name="Normalny 7 3 2 2 3 2" xfId="21203"/>
    <cellStyle name="Normalny 7 3 2 2 3 2 2" xfId="21204"/>
    <cellStyle name="Normalny 7 3 2 2 3 2 3" xfId="21205"/>
    <cellStyle name="Normalny 7 3 2 2 3 3" xfId="21206"/>
    <cellStyle name="Normalny 7 3 2 2 3 4" xfId="21207"/>
    <cellStyle name="Normalny 7 3 2 2 4" xfId="21208"/>
    <cellStyle name="Normalny 7 3 2 2 4 2" xfId="21209"/>
    <cellStyle name="Normalny 7 3 2 2 4 2 2" xfId="21210"/>
    <cellStyle name="Normalny 7 3 2 2 4 2 3" xfId="21211"/>
    <cellStyle name="Normalny 7 3 2 2 4 3" xfId="21212"/>
    <cellStyle name="Normalny 7 3 2 2 4 4" xfId="21213"/>
    <cellStyle name="Normalny 7 3 2 2 5" xfId="21214"/>
    <cellStyle name="Normalny 7 3 2 2 5 2" xfId="21215"/>
    <cellStyle name="Normalny 7 3 2 2 5 3" xfId="21216"/>
    <cellStyle name="Normalny 7 3 2 2 6" xfId="21217"/>
    <cellStyle name="Normalny 7 3 2 2 7" xfId="21218"/>
    <cellStyle name="Normalny 7 3 2 3" xfId="21219"/>
    <cellStyle name="Normalny 7 3 2 3 2" xfId="21220"/>
    <cellStyle name="Normalny 7 3 2 3 2 2" xfId="21221"/>
    <cellStyle name="Normalny 7 3 2 3 2 2 2" xfId="21222"/>
    <cellStyle name="Normalny 7 3 2 3 2 2 3" xfId="21223"/>
    <cellStyle name="Normalny 7 3 2 3 2 3" xfId="21224"/>
    <cellStyle name="Normalny 7 3 2 3 2 4" xfId="21225"/>
    <cellStyle name="Normalny 7 3 2 3 3" xfId="21226"/>
    <cellStyle name="Normalny 7 3 2 3 3 2" xfId="21227"/>
    <cellStyle name="Normalny 7 3 2 3 3 2 2" xfId="21228"/>
    <cellStyle name="Normalny 7 3 2 3 3 2 3" xfId="21229"/>
    <cellStyle name="Normalny 7 3 2 3 3 3" xfId="21230"/>
    <cellStyle name="Normalny 7 3 2 3 3 4" xfId="21231"/>
    <cellStyle name="Normalny 7 3 2 3 4" xfId="21232"/>
    <cellStyle name="Normalny 7 3 2 3 4 2" xfId="21233"/>
    <cellStyle name="Normalny 7 3 2 3 4 2 2" xfId="21234"/>
    <cellStyle name="Normalny 7 3 2 3 4 2 3" xfId="21235"/>
    <cellStyle name="Normalny 7 3 2 3 4 3" xfId="21236"/>
    <cellStyle name="Normalny 7 3 2 3 4 4" xfId="21237"/>
    <cellStyle name="Normalny 7 3 2 3 5" xfId="21238"/>
    <cellStyle name="Normalny 7 3 2 3 5 2" xfId="21239"/>
    <cellStyle name="Normalny 7 3 2 3 5 3" xfId="21240"/>
    <cellStyle name="Normalny 7 3 2 3 6" xfId="21241"/>
    <cellStyle name="Normalny 7 3 2 3 7" xfId="21242"/>
    <cellStyle name="Normalny 7 3 2 4" xfId="21243"/>
    <cellStyle name="Normalny 7 3 2 4 2" xfId="21244"/>
    <cellStyle name="Normalny 7 3 2 4 2 2" xfId="21245"/>
    <cellStyle name="Normalny 7 3 2 4 2 2 2" xfId="21246"/>
    <cellStyle name="Normalny 7 3 2 4 2 2 3" xfId="21247"/>
    <cellStyle name="Normalny 7 3 2 4 2 3" xfId="21248"/>
    <cellStyle name="Normalny 7 3 2 4 2 4" xfId="21249"/>
    <cellStyle name="Normalny 7 3 2 4 3" xfId="21250"/>
    <cellStyle name="Normalny 7 3 2 4 3 2" xfId="21251"/>
    <cellStyle name="Normalny 7 3 2 4 3 3" xfId="21252"/>
    <cellStyle name="Normalny 7 3 2 4 4" xfId="21253"/>
    <cellStyle name="Normalny 7 3 2 4 5" xfId="21254"/>
    <cellStyle name="Normalny 7 3 2 5" xfId="21255"/>
    <cellStyle name="Normalny 7 3 2 5 2" xfId="21256"/>
    <cellStyle name="Normalny 7 3 2 5 2 2" xfId="21257"/>
    <cellStyle name="Normalny 7 3 2 5 2 3" xfId="21258"/>
    <cellStyle name="Normalny 7 3 2 5 3" xfId="21259"/>
    <cellStyle name="Normalny 7 3 2 5 4" xfId="21260"/>
    <cellStyle name="Normalny 7 3 2 6" xfId="21261"/>
    <cellStyle name="Normalny 7 3 2 6 2" xfId="21262"/>
    <cellStyle name="Normalny 7 3 2 6 2 2" xfId="21263"/>
    <cellStyle name="Normalny 7 3 2 6 2 3" xfId="21264"/>
    <cellStyle name="Normalny 7 3 2 6 3" xfId="21265"/>
    <cellStyle name="Normalny 7 3 2 6 4" xfId="21266"/>
    <cellStyle name="Normalny 7 3 2 7" xfId="21267"/>
    <cellStyle name="Normalny 7 3 2 7 2" xfId="21268"/>
    <cellStyle name="Normalny 7 3 2 7 2 2" xfId="21269"/>
    <cellStyle name="Normalny 7 3 2 7 2 3" xfId="21270"/>
    <cellStyle name="Normalny 7 3 2 7 3" xfId="21271"/>
    <cellStyle name="Normalny 7 3 2 7 4" xfId="21272"/>
    <cellStyle name="Normalny 7 3 2 8" xfId="21273"/>
    <cellStyle name="Normalny 7 3 2 8 2" xfId="21274"/>
    <cellStyle name="Normalny 7 3 2 8 3" xfId="21275"/>
    <cellStyle name="Normalny 7 3 2 9" xfId="21276"/>
    <cellStyle name="Normalny 7 3 3" xfId="21277"/>
    <cellStyle name="Normalny 7 3 3 2" xfId="21278"/>
    <cellStyle name="Normalny 7 3 3 2 2" xfId="21279"/>
    <cellStyle name="Normalny 7 3 3 2 2 2" xfId="21280"/>
    <cellStyle name="Normalny 7 3 3 2 2 3" xfId="21281"/>
    <cellStyle name="Normalny 7 3 3 2 3" xfId="21282"/>
    <cellStyle name="Normalny 7 3 3 2 4" xfId="21283"/>
    <cellStyle name="Normalny 7 3 3 3" xfId="21284"/>
    <cellStyle name="Normalny 7 3 3 3 2" xfId="21285"/>
    <cellStyle name="Normalny 7 3 3 3 2 2" xfId="21286"/>
    <cellStyle name="Normalny 7 3 3 3 2 3" xfId="21287"/>
    <cellStyle name="Normalny 7 3 3 3 3" xfId="21288"/>
    <cellStyle name="Normalny 7 3 3 3 4" xfId="21289"/>
    <cellStyle name="Normalny 7 3 3 4" xfId="21290"/>
    <cellStyle name="Normalny 7 3 3 4 2" xfId="21291"/>
    <cellStyle name="Normalny 7 3 3 4 2 2" xfId="21292"/>
    <cellStyle name="Normalny 7 3 3 4 2 3" xfId="21293"/>
    <cellStyle name="Normalny 7 3 3 4 3" xfId="21294"/>
    <cellStyle name="Normalny 7 3 3 4 4" xfId="21295"/>
    <cellStyle name="Normalny 7 3 3 5" xfId="21296"/>
    <cellStyle name="Normalny 7 3 3 5 2" xfId="21297"/>
    <cellStyle name="Normalny 7 3 3 5 3" xfId="21298"/>
    <cellStyle name="Normalny 7 3 3 6" xfId="21299"/>
    <cellStyle name="Normalny 7 3 3 7" xfId="21300"/>
    <cellStyle name="Normalny 7 3 4" xfId="21301"/>
    <cellStyle name="Normalny 7 3 4 2" xfId="21302"/>
    <cellStyle name="Normalny 7 3 4 2 2" xfId="21303"/>
    <cellStyle name="Normalny 7 3 4 2 2 2" xfId="21304"/>
    <cellStyle name="Normalny 7 3 4 2 2 3" xfId="21305"/>
    <cellStyle name="Normalny 7 3 4 2 3" xfId="21306"/>
    <cellStyle name="Normalny 7 3 4 2 4" xfId="21307"/>
    <cellStyle name="Normalny 7 3 4 3" xfId="21308"/>
    <cellStyle name="Normalny 7 3 4 3 2" xfId="21309"/>
    <cellStyle name="Normalny 7 3 4 3 2 2" xfId="21310"/>
    <cellStyle name="Normalny 7 3 4 3 2 3" xfId="21311"/>
    <cellStyle name="Normalny 7 3 4 3 3" xfId="21312"/>
    <cellStyle name="Normalny 7 3 4 3 4" xfId="21313"/>
    <cellStyle name="Normalny 7 3 4 4" xfId="21314"/>
    <cellStyle name="Normalny 7 3 4 4 2" xfId="21315"/>
    <cellStyle name="Normalny 7 3 4 4 2 2" xfId="21316"/>
    <cellStyle name="Normalny 7 3 4 4 2 3" xfId="21317"/>
    <cellStyle name="Normalny 7 3 4 4 3" xfId="21318"/>
    <cellStyle name="Normalny 7 3 4 4 4" xfId="21319"/>
    <cellStyle name="Normalny 7 3 4 5" xfId="21320"/>
    <cellStyle name="Normalny 7 3 4 5 2" xfId="21321"/>
    <cellStyle name="Normalny 7 3 4 5 3" xfId="21322"/>
    <cellStyle name="Normalny 7 3 4 6" xfId="21323"/>
    <cellStyle name="Normalny 7 3 4 7" xfId="21324"/>
    <cellStyle name="Normalny 7 3 5" xfId="21325"/>
    <cellStyle name="Normalny 7 3 5 2" xfId="21326"/>
    <cellStyle name="Normalny 7 3 5 2 2" xfId="21327"/>
    <cellStyle name="Normalny 7 3 5 2 2 2" xfId="21328"/>
    <cellStyle name="Normalny 7 3 5 2 2 3" xfId="21329"/>
    <cellStyle name="Normalny 7 3 5 2 3" xfId="21330"/>
    <cellStyle name="Normalny 7 3 5 2 4" xfId="21331"/>
    <cellStyle name="Normalny 7 3 5 3" xfId="21332"/>
    <cellStyle name="Normalny 7 3 5 3 2" xfId="21333"/>
    <cellStyle name="Normalny 7 3 5 3 3" xfId="21334"/>
    <cellStyle name="Normalny 7 3 5 4" xfId="21335"/>
    <cellStyle name="Normalny 7 3 5 5" xfId="21336"/>
    <cellStyle name="Normalny 7 3 6" xfId="21337"/>
    <cellStyle name="Normalny 7 3 6 2" xfId="21338"/>
    <cellStyle name="Normalny 7 3 6 2 2" xfId="21339"/>
    <cellStyle name="Normalny 7 3 6 2 3" xfId="21340"/>
    <cellStyle name="Normalny 7 3 6 3" xfId="21341"/>
    <cellStyle name="Normalny 7 3 6 4" xfId="21342"/>
    <cellStyle name="Normalny 7 3 7" xfId="21343"/>
    <cellStyle name="Normalny 7 3 7 2" xfId="21344"/>
    <cellStyle name="Normalny 7 3 7 2 2" xfId="21345"/>
    <cellStyle name="Normalny 7 3 7 2 3" xfId="21346"/>
    <cellStyle name="Normalny 7 3 7 3" xfId="21347"/>
    <cellStyle name="Normalny 7 3 7 4" xfId="21348"/>
    <cellStyle name="Normalny 7 3 8" xfId="21349"/>
    <cellStyle name="Normalny 7 3 8 2" xfId="21350"/>
    <cellStyle name="Normalny 7 3 8 2 2" xfId="21351"/>
    <cellStyle name="Normalny 7 3 8 2 3" xfId="21352"/>
    <cellStyle name="Normalny 7 3 8 3" xfId="21353"/>
    <cellStyle name="Normalny 7 3 8 4" xfId="21354"/>
    <cellStyle name="Normalny 7 3 9" xfId="21355"/>
    <cellStyle name="Normalny 7 3 9 2" xfId="21356"/>
    <cellStyle name="Normalny 7 3 9 3" xfId="21357"/>
    <cellStyle name="Normalny 7 4" xfId="21358"/>
    <cellStyle name="Normalny 7 4 10" xfId="21359"/>
    <cellStyle name="Normalny 7 4 2" xfId="21360"/>
    <cellStyle name="Normalny 7 4 2 2" xfId="21361"/>
    <cellStyle name="Normalny 7 4 2 2 2" xfId="21362"/>
    <cellStyle name="Normalny 7 4 2 2 2 2" xfId="21363"/>
    <cellStyle name="Normalny 7 4 2 2 2 3" xfId="21364"/>
    <cellStyle name="Normalny 7 4 2 2 3" xfId="21365"/>
    <cellStyle name="Normalny 7 4 2 2 4" xfId="21366"/>
    <cellStyle name="Normalny 7 4 2 3" xfId="21367"/>
    <cellStyle name="Normalny 7 4 2 3 2" xfId="21368"/>
    <cellStyle name="Normalny 7 4 2 3 2 2" xfId="21369"/>
    <cellStyle name="Normalny 7 4 2 3 2 3" xfId="21370"/>
    <cellStyle name="Normalny 7 4 2 3 3" xfId="21371"/>
    <cellStyle name="Normalny 7 4 2 3 4" xfId="21372"/>
    <cellStyle name="Normalny 7 4 2 4" xfId="21373"/>
    <cellStyle name="Normalny 7 4 2 4 2" xfId="21374"/>
    <cellStyle name="Normalny 7 4 2 4 2 2" xfId="21375"/>
    <cellStyle name="Normalny 7 4 2 4 2 3" xfId="21376"/>
    <cellStyle name="Normalny 7 4 2 4 3" xfId="21377"/>
    <cellStyle name="Normalny 7 4 2 4 4" xfId="21378"/>
    <cellStyle name="Normalny 7 4 2 5" xfId="21379"/>
    <cellStyle name="Normalny 7 4 2 5 2" xfId="21380"/>
    <cellStyle name="Normalny 7 4 2 5 3" xfId="21381"/>
    <cellStyle name="Normalny 7 4 2 6" xfId="21382"/>
    <cellStyle name="Normalny 7 4 2 7" xfId="21383"/>
    <cellStyle name="Normalny 7 4 3" xfId="21384"/>
    <cellStyle name="Normalny 7 4 3 2" xfId="21385"/>
    <cellStyle name="Normalny 7 4 3 2 2" xfId="21386"/>
    <cellStyle name="Normalny 7 4 3 2 2 2" xfId="21387"/>
    <cellStyle name="Normalny 7 4 3 2 2 3" xfId="21388"/>
    <cellStyle name="Normalny 7 4 3 2 3" xfId="21389"/>
    <cellStyle name="Normalny 7 4 3 2 4" xfId="21390"/>
    <cellStyle name="Normalny 7 4 3 3" xfId="21391"/>
    <cellStyle name="Normalny 7 4 3 3 2" xfId="21392"/>
    <cellStyle name="Normalny 7 4 3 3 2 2" xfId="21393"/>
    <cellStyle name="Normalny 7 4 3 3 2 3" xfId="21394"/>
    <cellStyle name="Normalny 7 4 3 3 3" xfId="21395"/>
    <cellStyle name="Normalny 7 4 3 3 4" xfId="21396"/>
    <cellStyle name="Normalny 7 4 3 4" xfId="21397"/>
    <cellStyle name="Normalny 7 4 3 4 2" xfId="21398"/>
    <cellStyle name="Normalny 7 4 3 4 2 2" xfId="21399"/>
    <cellStyle name="Normalny 7 4 3 4 2 3" xfId="21400"/>
    <cellStyle name="Normalny 7 4 3 4 3" xfId="21401"/>
    <cellStyle name="Normalny 7 4 3 4 4" xfId="21402"/>
    <cellStyle name="Normalny 7 4 3 5" xfId="21403"/>
    <cellStyle name="Normalny 7 4 3 5 2" xfId="21404"/>
    <cellStyle name="Normalny 7 4 3 5 3" xfId="21405"/>
    <cellStyle name="Normalny 7 4 3 6" xfId="21406"/>
    <cellStyle name="Normalny 7 4 3 7" xfId="21407"/>
    <cellStyle name="Normalny 7 4 4" xfId="21408"/>
    <cellStyle name="Normalny 7 4 4 2" xfId="21409"/>
    <cellStyle name="Normalny 7 4 4 2 2" xfId="21410"/>
    <cellStyle name="Normalny 7 4 4 2 2 2" xfId="21411"/>
    <cellStyle name="Normalny 7 4 4 2 2 3" xfId="21412"/>
    <cellStyle name="Normalny 7 4 4 2 3" xfId="21413"/>
    <cellStyle name="Normalny 7 4 4 2 4" xfId="21414"/>
    <cellStyle name="Normalny 7 4 4 3" xfId="21415"/>
    <cellStyle name="Normalny 7 4 4 3 2" xfId="21416"/>
    <cellStyle name="Normalny 7 4 4 3 3" xfId="21417"/>
    <cellStyle name="Normalny 7 4 4 4" xfId="21418"/>
    <cellStyle name="Normalny 7 4 4 5" xfId="21419"/>
    <cellStyle name="Normalny 7 4 5" xfId="21420"/>
    <cellStyle name="Normalny 7 4 5 2" xfId="21421"/>
    <cellStyle name="Normalny 7 4 5 2 2" xfId="21422"/>
    <cellStyle name="Normalny 7 4 5 2 3" xfId="21423"/>
    <cellStyle name="Normalny 7 4 5 3" xfId="21424"/>
    <cellStyle name="Normalny 7 4 5 4" xfId="21425"/>
    <cellStyle name="Normalny 7 4 6" xfId="21426"/>
    <cellStyle name="Normalny 7 4 6 2" xfId="21427"/>
    <cellStyle name="Normalny 7 4 6 2 2" xfId="21428"/>
    <cellStyle name="Normalny 7 4 6 2 3" xfId="21429"/>
    <cellStyle name="Normalny 7 4 6 3" xfId="21430"/>
    <cellStyle name="Normalny 7 4 6 4" xfId="21431"/>
    <cellStyle name="Normalny 7 4 7" xfId="21432"/>
    <cellStyle name="Normalny 7 4 7 2" xfId="21433"/>
    <cellStyle name="Normalny 7 4 7 2 2" xfId="21434"/>
    <cellStyle name="Normalny 7 4 7 2 3" xfId="21435"/>
    <cellStyle name="Normalny 7 4 7 3" xfId="21436"/>
    <cellStyle name="Normalny 7 4 7 4" xfId="21437"/>
    <cellStyle name="Normalny 7 4 8" xfId="21438"/>
    <cellStyle name="Normalny 7 4 8 2" xfId="21439"/>
    <cellStyle name="Normalny 7 4 8 3" xfId="21440"/>
    <cellStyle name="Normalny 7 4 9" xfId="21441"/>
    <cellStyle name="Normalny 7 5" xfId="21442"/>
    <cellStyle name="Normalny 7 5 2" xfId="21443"/>
    <cellStyle name="Normalny 7 5 2 2" xfId="21444"/>
    <cellStyle name="Normalny 7 5 2 2 2" xfId="21445"/>
    <cellStyle name="Normalny 7 5 2 2 2 2" xfId="21446"/>
    <cellStyle name="Normalny 7 5 2 2 2 3" xfId="21447"/>
    <cellStyle name="Normalny 7 5 2 2 3" xfId="21448"/>
    <cellStyle name="Normalny 7 5 2 2 4" xfId="21449"/>
    <cellStyle name="Normalny 7 5 2 3" xfId="21450"/>
    <cellStyle name="Normalny 7 5 2 3 2" xfId="21451"/>
    <cellStyle name="Normalny 7 5 2 3 2 2" xfId="21452"/>
    <cellStyle name="Normalny 7 5 2 3 2 3" xfId="21453"/>
    <cellStyle name="Normalny 7 5 2 3 3" xfId="21454"/>
    <cellStyle name="Normalny 7 5 2 3 4" xfId="21455"/>
    <cellStyle name="Normalny 7 5 2 4" xfId="21456"/>
    <cellStyle name="Normalny 7 5 2 4 2" xfId="21457"/>
    <cellStyle name="Normalny 7 5 2 4 2 2" xfId="21458"/>
    <cellStyle name="Normalny 7 5 2 4 2 3" xfId="21459"/>
    <cellStyle name="Normalny 7 5 2 4 3" xfId="21460"/>
    <cellStyle name="Normalny 7 5 2 4 4" xfId="21461"/>
    <cellStyle name="Normalny 7 5 2 5" xfId="21462"/>
    <cellStyle name="Normalny 7 5 2 5 2" xfId="21463"/>
    <cellStyle name="Normalny 7 5 2 5 3" xfId="21464"/>
    <cellStyle name="Normalny 7 5 2 6" xfId="21465"/>
    <cellStyle name="Normalny 7 5 2 7" xfId="21466"/>
    <cellStyle name="Normalny 7 5 3" xfId="21467"/>
    <cellStyle name="Normalny 7 5 3 2" xfId="21468"/>
    <cellStyle name="Normalny 7 5 3 2 2" xfId="21469"/>
    <cellStyle name="Normalny 7 5 3 2 2 2" xfId="21470"/>
    <cellStyle name="Normalny 7 5 3 2 2 3" xfId="21471"/>
    <cellStyle name="Normalny 7 5 3 2 3" xfId="21472"/>
    <cellStyle name="Normalny 7 5 3 2 4" xfId="21473"/>
    <cellStyle name="Normalny 7 5 3 3" xfId="21474"/>
    <cellStyle name="Normalny 7 5 3 3 2" xfId="21475"/>
    <cellStyle name="Normalny 7 5 3 3 2 2" xfId="21476"/>
    <cellStyle name="Normalny 7 5 3 3 2 3" xfId="21477"/>
    <cellStyle name="Normalny 7 5 3 3 3" xfId="21478"/>
    <cellStyle name="Normalny 7 5 3 3 4" xfId="21479"/>
    <cellStyle name="Normalny 7 5 3 4" xfId="21480"/>
    <cellStyle name="Normalny 7 5 3 4 2" xfId="21481"/>
    <cellStyle name="Normalny 7 5 3 4 2 2" xfId="21482"/>
    <cellStyle name="Normalny 7 5 3 4 2 3" xfId="21483"/>
    <cellStyle name="Normalny 7 5 3 4 3" xfId="21484"/>
    <cellStyle name="Normalny 7 5 3 4 4" xfId="21485"/>
    <cellStyle name="Normalny 7 5 3 5" xfId="21486"/>
    <cellStyle name="Normalny 7 5 3 5 2" xfId="21487"/>
    <cellStyle name="Normalny 7 5 3 5 3" xfId="21488"/>
    <cellStyle name="Normalny 7 5 3 6" xfId="21489"/>
    <cellStyle name="Normalny 7 5 3 7" xfId="21490"/>
    <cellStyle name="Normalny 7 5 4" xfId="21491"/>
    <cellStyle name="Normalny 7 5 4 2" xfId="21492"/>
    <cellStyle name="Normalny 7 5 4 2 2" xfId="21493"/>
    <cellStyle name="Normalny 7 5 4 2 3" xfId="21494"/>
    <cellStyle name="Normalny 7 5 4 3" xfId="21495"/>
    <cellStyle name="Normalny 7 5 4 4" xfId="21496"/>
    <cellStyle name="Normalny 7 5 5" xfId="21497"/>
    <cellStyle name="Normalny 7 5 5 2" xfId="21498"/>
    <cellStyle name="Normalny 7 5 5 2 2" xfId="21499"/>
    <cellStyle name="Normalny 7 5 5 2 3" xfId="21500"/>
    <cellStyle name="Normalny 7 5 5 3" xfId="21501"/>
    <cellStyle name="Normalny 7 5 5 4" xfId="21502"/>
    <cellStyle name="Normalny 7 5 6" xfId="21503"/>
    <cellStyle name="Normalny 7 5 6 2" xfId="21504"/>
    <cellStyle name="Normalny 7 5 6 2 2" xfId="21505"/>
    <cellStyle name="Normalny 7 5 6 2 3" xfId="21506"/>
    <cellStyle name="Normalny 7 5 6 3" xfId="21507"/>
    <cellStyle name="Normalny 7 5 6 4" xfId="21508"/>
    <cellStyle name="Normalny 7 5 7" xfId="21509"/>
    <cellStyle name="Normalny 7 5 7 2" xfId="21510"/>
    <cellStyle name="Normalny 7 5 7 3" xfId="21511"/>
    <cellStyle name="Normalny 7 5 8" xfId="21512"/>
    <cellStyle name="Normalny 7 5 9" xfId="21513"/>
    <cellStyle name="Normalny 7 6" xfId="21514"/>
    <cellStyle name="Normalny 7 6 2" xfId="21515"/>
    <cellStyle name="Normalny 7 6 2 2" xfId="21516"/>
    <cellStyle name="Normalny 7 6 2 2 2" xfId="21517"/>
    <cellStyle name="Normalny 7 6 2 2 2 2" xfId="21518"/>
    <cellStyle name="Normalny 7 6 2 2 2 3" xfId="21519"/>
    <cellStyle name="Normalny 7 6 2 2 3" xfId="21520"/>
    <cellStyle name="Normalny 7 6 2 2 4" xfId="21521"/>
    <cellStyle name="Normalny 7 6 2 3" xfId="21522"/>
    <cellStyle name="Normalny 7 6 2 3 2" xfId="21523"/>
    <cellStyle name="Normalny 7 6 2 3 2 2" xfId="21524"/>
    <cellStyle name="Normalny 7 6 2 3 2 3" xfId="21525"/>
    <cellStyle name="Normalny 7 6 2 3 3" xfId="21526"/>
    <cellStyle name="Normalny 7 6 2 3 4" xfId="21527"/>
    <cellStyle name="Normalny 7 6 2 4" xfId="21528"/>
    <cellStyle name="Normalny 7 6 2 4 2" xfId="21529"/>
    <cellStyle name="Normalny 7 6 2 4 2 2" xfId="21530"/>
    <cellStyle name="Normalny 7 6 2 4 2 3" xfId="21531"/>
    <cellStyle name="Normalny 7 6 2 4 3" xfId="21532"/>
    <cellStyle name="Normalny 7 6 2 4 4" xfId="21533"/>
    <cellStyle name="Normalny 7 6 2 5" xfId="21534"/>
    <cellStyle name="Normalny 7 6 2 5 2" xfId="21535"/>
    <cellStyle name="Normalny 7 6 2 5 3" xfId="21536"/>
    <cellStyle name="Normalny 7 6 2 6" xfId="21537"/>
    <cellStyle name="Normalny 7 6 2 7" xfId="21538"/>
    <cellStyle name="Normalny 7 6 3" xfId="21539"/>
    <cellStyle name="Normalny 7 6 3 2" xfId="21540"/>
    <cellStyle name="Normalny 7 6 3 2 2" xfId="21541"/>
    <cellStyle name="Normalny 7 6 3 2 2 2" xfId="21542"/>
    <cellStyle name="Normalny 7 6 3 2 2 3" xfId="21543"/>
    <cellStyle name="Normalny 7 6 3 2 3" xfId="21544"/>
    <cellStyle name="Normalny 7 6 3 2 4" xfId="21545"/>
    <cellStyle name="Normalny 7 6 3 3" xfId="21546"/>
    <cellStyle name="Normalny 7 6 3 3 2" xfId="21547"/>
    <cellStyle name="Normalny 7 6 3 3 2 2" xfId="21548"/>
    <cellStyle name="Normalny 7 6 3 3 2 3" xfId="21549"/>
    <cellStyle name="Normalny 7 6 3 3 3" xfId="21550"/>
    <cellStyle name="Normalny 7 6 3 3 4" xfId="21551"/>
    <cellStyle name="Normalny 7 6 3 4" xfId="21552"/>
    <cellStyle name="Normalny 7 6 3 4 2" xfId="21553"/>
    <cellStyle name="Normalny 7 6 3 4 2 2" xfId="21554"/>
    <cellStyle name="Normalny 7 6 3 4 2 3" xfId="21555"/>
    <cellStyle name="Normalny 7 6 3 4 3" xfId="21556"/>
    <cellStyle name="Normalny 7 6 3 4 4" xfId="21557"/>
    <cellStyle name="Normalny 7 6 3 5" xfId="21558"/>
    <cellStyle name="Normalny 7 6 3 5 2" xfId="21559"/>
    <cellStyle name="Normalny 7 6 3 5 3" xfId="21560"/>
    <cellStyle name="Normalny 7 6 3 6" xfId="21561"/>
    <cellStyle name="Normalny 7 6 3 7" xfId="21562"/>
    <cellStyle name="Normalny 7 6 4" xfId="21563"/>
    <cellStyle name="Normalny 7 6 4 2" xfId="21564"/>
    <cellStyle name="Normalny 7 6 4 2 2" xfId="21565"/>
    <cellStyle name="Normalny 7 6 4 2 3" xfId="21566"/>
    <cellStyle name="Normalny 7 6 4 3" xfId="21567"/>
    <cellStyle name="Normalny 7 6 4 4" xfId="21568"/>
    <cellStyle name="Normalny 7 6 5" xfId="21569"/>
    <cellStyle name="Normalny 7 6 5 2" xfId="21570"/>
    <cellStyle name="Normalny 7 6 5 2 2" xfId="21571"/>
    <cellStyle name="Normalny 7 6 5 2 3" xfId="21572"/>
    <cellStyle name="Normalny 7 6 5 3" xfId="21573"/>
    <cellStyle name="Normalny 7 6 5 4" xfId="21574"/>
    <cellStyle name="Normalny 7 6 6" xfId="21575"/>
    <cellStyle name="Normalny 7 6 6 2" xfId="21576"/>
    <cellStyle name="Normalny 7 6 6 2 2" xfId="21577"/>
    <cellStyle name="Normalny 7 6 6 2 3" xfId="21578"/>
    <cellStyle name="Normalny 7 6 6 3" xfId="21579"/>
    <cellStyle name="Normalny 7 6 6 4" xfId="21580"/>
    <cellStyle name="Normalny 7 6 7" xfId="21581"/>
    <cellStyle name="Normalny 7 6 7 2" xfId="21582"/>
    <cellStyle name="Normalny 7 6 7 3" xfId="21583"/>
    <cellStyle name="Normalny 7 6 8" xfId="21584"/>
    <cellStyle name="Normalny 7 6 9" xfId="21585"/>
    <cellStyle name="Normalny 7 7" xfId="21586"/>
    <cellStyle name="Normalny 7 7 2" xfId="21587"/>
    <cellStyle name="Normalny 7 7 2 2" xfId="21588"/>
    <cellStyle name="Normalny 7 7 2 2 2" xfId="21589"/>
    <cellStyle name="Normalny 7 7 2 2 2 2" xfId="21590"/>
    <cellStyle name="Normalny 7 7 2 2 2 3" xfId="21591"/>
    <cellStyle name="Normalny 7 7 2 2 3" xfId="21592"/>
    <cellStyle name="Normalny 7 7 2 2 4" xfId="21593"/>
    <cellStyle name="Normalny 7 7 2 3" xfId="21594"/>
    <cellStyle name="Normalny 7 7 2 3 2" xfId="21595"/>
    <cellStyle name="Normalny 7 7 2 3 2 2" xfId="21596"/>
    <cellStyle name="Normalny 7 7 2 3 2 3" xfId="21597"/>
    <cellStyle name="Normalny 7 7 2 3 3" xfId="21598"/>
    <cellStyle name="Normalny 7 7 2 3 4" xfId="21599"/>
    <cellStyle name="Normalny 7 7 2 4" xfId="21600"/>
    <cellStyle name="Normalny 7 7 2 4 2" xfId="21601"/>
    <cellStyle name="Normalny 7 7 2 4 2 2" xfId="21602"/>
    <cellStyle name="Normalny 7 7 2 4 2 3" xfId="21603"/>
    <cellStyle name="Normalny 7 7 2 4 3" xfId="21604"/>
    <cellStyle name="Normalny 7 7 2 4 4" xfId="21605"/>
    <cellStyle name="Normalny 7 7 2 5" xfId="21606"/>
    <cellStyle name="Normalny 7 7 2 5 2" xfId="21607"/>
    <cellStyle name="Normalny 7 7 2 5 3" xfId="21608"/>
    <cellStyle name="Normalny 7 7 2 6" xfId="21609"/>
    <cellStyle name="Normalny 7 7 2 7" xfId="21610"/>
    <cellStyle name="Normalny 7 7 3" xfId="21611"/>
    <cellStyle name="Normalny 7 7 3 2" xfId="21612"/>
    <cellStyle name="Normalny 7 7 3 2 2" xfId="21613"/>
    <cellStyle name="Normalny 7 7 3 2 3" xfId="21614"/>
    <cellStyle name="Normalny 7 7 3 3" xfId="21615"/>
    <cellStyle name="Normalny 7 7 3 4" xfId="21616"/>
    <cellStyle name="Normalny 7 7 4" xfId="21617"/>
    <cellStyle name="Normalny 7 7 4 2" xfId="21618"/>
    <cellStyle name="Normalny 7 7 4 2 2" xfId="21619"/>
    <cellStyle name="Normalny 7 7 4 2 3" xfId="21620"/>
    <cellStyle name="Normalny 7 7 4 3" xfId="21621"/>
    <cellStyle name="Normalny 7 7 4 4" xfId="21622"/>
    <cellStyle name="Normalny 7 7 5" xfId="21623"/>
    <cellStyle name="Normalny 7 7 5 2" xfId="21624"/>
    <cellStyle name="Normalny 7 7 5 2 2" xfId="21625"/>
    <cellStyle name="Normalny 7 7 5 2 3" xfId="21626"/>
    <cellStyle name="Normalny 7 7 5 3" xfId="21627"/>
    <cellStyle name="Normalny 7 7 5 4" xfId="21628"/>
    <cellStyle name="Normalny 7 7 6" xfId="21629"/>
    <cellStyle name="Normalny 7 7 6 2" xfId="21630"/>
    <cellStyle name="Normalny 7 7 6 3" xfId="21631"/>
    <cellStyle name="Normalny 7 7 7" xfId="21632"/>
    <cellStyle name="Normalny 7 7 8" xfId="21633"/>
    <cellStyle name="Normalny 7 8" xfId="21634"/>
    <cellStyle name="Normalny 7 8 2" xfId="21635"/>
    <cellStyle name="Normalny 7 8 2 2" xfId="21636"/>
    <cellStyle name="Normalny 7 8 2 2 2" xfId="21637"/>
    <cellStyle name="Normalny 7 8 2 2 2 2" xfId="21638"/>
    <cellStyle name="Normalny 7 8 2 2 2 3" xfId="21639"/>
    <cellStyle name="Normalny 7 8 2 2 3" xfId="21640"/>
    <cellStyle name="Normalny 7 8 2 2 4" xfId="21641"/>
    <cellStyle name="Normalny 7 8 2 3" xfId="21642"/>
    <cellStyle name="Normalny 7 8 2 3 2" xfId="21643"/>
    <cellStyle name="Normalny 7 8 2 3 2 2" xfId="21644"/>
    <cellStyle name="Normalny 7 8 2 3 2 3" xfId="21645"/>
    <cellStyle name="Normalny 7 8 2 3 3" xfId="21646"/>
    <cellStyle name="Normalny 7 8 2 3 4" xfId="21647"/>
    <cellStyle name="Normalny 7 8 2 4" xfId="21648"/>
    <cellStyle name="Normalny 7 8 2 4 2" xfId="21649"/>
    <cellStyle name="Normalny 7 8 2 4 2 2" xfId="21650"/>
    <cellStyle name="Normalny 7 8 2 4 2 3" xfId="21651"/>
    <cellStyle name="Normalny 7 8 2 4 3" xfId="21652"/>
    <cellStyle name="Normalny 7 8 2 4 4" xfId="21653"/>
    <cellStyle name="Normalny 7 8 2 5" xfId="21654"/>
    <cellStyle name="Normalny 7 8 2 5 2" xfId="21655"/>
    <cellStyle name="Normalny 7 8 2 5 3" xfId="21656"/>
    <cellStyle name="Normalny 7 8 2 6" xfId="21657"/>
    <cellStyle name="Normalny 7 8 2 7" xfId="21658"/>
    <cellStyle name="Normalny 7 8 3" xfId="21659"/>
    <cellStyle name="Normalny 7 8 3 2" xfId="21660"/>
    <cellStyle name="Normalny 7 8 3 2 2" xfId="21661"/>
    <cellStyle name="Normalny 7 8 3 2 3" xfId="21662"/>
    <cellStyle name="Normalny 7 8 3 3" xfId="21663"/>
    <cellStyle name="Normalny 7 8 3 4" xfId="21664"/>
    <cellStyle name="Normalny 7 8 4" xfId="21665"/>
    <cellStyle name="Normalny 7 8 4 2" xfId="21666"/>
    <cellStyle name="Normalny 7 8 4 2 2" xfId="21667"/>
    <cellStyle name="Normalny 7 8 4 2 3" xfId="21668"/>
    <cellStyle name="Normalny 7 8 4 3" xfId="21669"/>
    <cellStyle name="Normalny 7 8 4 4" xfId="21670"/>
    <cellStyle name="Normalny 7 8 5" xfId="21671"/>
    <cellStyle name="Normalny 7 8 5 2" xfId="21672"/>
    <cellStyle name="Normalny 7 8 5 2 2" xfId="21673"/>
    <cellStyle name="Normalny 7 8 5 2 3" xfId="21674"/>
    <cellStyle name="Normalny 7 8 5 3" xfId="21675"/>
    <cellStyle name="Normalny 7 8 5 4" xfId="21676"/>
    <cellStyle name="Normalny 7 8 6" xfId="21677"/>
    <cellStyle name="Normalny 7 8 6 2" xfId="21678"/>
    <cellStyle name="Normalny 7 8 6 3" xfId="21679"/>
    <cellStyle name="Normalny 7 8 7" xfId="21680"/>
    <cellStyle name="Normalny 7 8 8" xfId="21681"/>
    <cellStyle name="Normalny 7 9" xfId="21682"/>
    <cellStyle name="Normalny 7 9 2" xfId="21683"/>
    <cellStyle name="Normalny 7 9 2 2" xfId="21684"/>
    <cellStyle name="Normalny 7 9 2 2 2" xfId="21685"/>
    <cellStyle name="Normalny 7 9 2 2 3" xfId="21686"/>
    <cellStyle name="Normalny 7 9 2 3" xfId="21687"/>
    <cellStyle name="Normalny 7 9 2 4" xfId="21688"/>
    <cellStyle name="Normalny 7 9 3" xfId="21689"/>
    <cellStyle name="Normalny 7 9 3 2" xfId="21690"/>
    <cellStyle name="Normalny 7 9 3 2 2" xfId="21691"/>
    <cellStyle name="Normalny 7 9 3 2 3" xfId="21692"/>
    <cellStyle name="Normalny 7 9 3 3" xfId="21693"/>
    <cellStyle name="Normalny 7 9 3 4" xfId="21694"/>
    <cellStyle name="Normalny 7 9 4" xfId="21695"/>
    <cellStyle name="Normalny 7 9 4 2" xfId="21696"/>
    <cellStyle name="Normalny 7 9 4 2 2" xfId="21697"/>
    <cellStyle name="Normalny 7 9 4 2 3" xfId="21698"/>
    <cellStyle name="Normalny 7 9 4 3" xfId="21699"/>
    <cellStyle name="Normalny 7 9 4 4" xfId="21700"/>
    <cellStyle name="Normalny 7 9 5" xfId="21701"/>
    <cellStyle name="Normalny 7 9 5 2" xfId="21702"/>
    <cellStyle name="Normalny 7 9 5 3" xfId="21703"/>
    <cellStyle name="Normalny 7 9 6" xfId="21704"/>
    <cellStyle name="Normalny 7 9 7" xfId="21705"/>
    <cellStyle name="Normalny 8" xfId="21706"/>
    <cellStyle name="Normalny 8 2" xfId="21707"/>
    <cellStyle name="Normalny 8 3" xfId="21708"/>
    <cellStyle name="Normalny 8 4" xfId="21709"/>
    <cellStyle name="Normalny 9" xfId="21710"/>
    <cellStyle name="Normalny 9 2" xfId="21711"/>
    <cellStyle name="Normalny 9 3" xfId="21712"/>
    <cellStyle name="Normalny 9 4" xfId="21713"/>
    <cellStyle name="Obliczenia 2" xfId="21714"/>
    <cellStyle name="Obliczenia 2 2" xfId="21715"/>
    <cellStyle name="Obliczenia 2 3" xfId="21716"/>
    <cellStyle name="Obliczenia 3" xfId="21717"/>
    <cellStyle name="Obliczenia 4" xfId="21718"/>
    <cellStyle name="Obliczenia 5" xfId="21719"/>
    <cellStyle name="Obliczenia 6" xfId="21720"/>
    <cellStyle name="Percent" xfId="10" builtinId="5"/>
    <cellStyle name="Percent 2" xfId="18"/>
    <cellStyle name="Percent 3" xfId="21721"/>
    <cellStyle name="Percent 4" xfId="21722"/>
    <cellStyle name="Percent 5" xfId="21785"/>
    <cellStyle name="Percent 6" xfId="15"/>
    <cellStyle name="Procentowy 10" xfId="21781"/>
    <cellStyle name="Procentowy 2" xfId="11"/>
    <cellStyle name="Procentowy 2 2" xfId="21723"/>
    <cellStyle name="Procentowy 2 2 2" xfId="21724"/>
    <cellStyle name="Procentowy 2 3" xfId="21725"/>
    <cellStyle name="Procentowy 2 4" xfId="21726"/>
    <cellStyle name="Procentowy 2 5" xfId="23"/>
    <cellStyle name="Procentowy 3" xfId="12"/>
    <cellStyle name="Procentowy 3 2" xfId="21728"/>
    <cellStyle name="Procentowy 3 3" xfId="21727"/>
    <cellStyle name="Procentowy 4" xfId="21729"/>
    <cellStyle name="Procentowy 4 2" xfId="21730"/>
    <cellStyle name="Styl 1" xfId="21731"/>
    <cellStyle name="Style 30" xfId="21732"/>
    <cellStyle name="Style 31" xfId="21733"/>
    <cellStyle name="Suma 2" xfId="21734"/>
    <cellStyle name="Suma 2 2" xfId="21735"/>
    <cellStyle name="Suma 2 3" xfId="21736"/>
    <cellStyle name="Suma 3" xfId="21737"/>
    <cellStyle name="Suma 4" xfId="21738"/>
    <cellStyle name="Suma 5" xfId="21739"/>
    <cellStyle name="Suma 6" xfId="21740"/>
    <cellStyle name="Tekst objaśnienia 2" xfId="21741"/>
    <cellStyle name="Tekst objaśnienia 2 2" xfId="21742"/>
    <cellStyle name="Tekst objaśnienia 2 3" xfId="21743"/>
    <cellStyle name="Tekst objaśnienia 3" xfId="21744"/>
    <cellStyle name="Tekst objaśnienia 4" xfId="21745"/>
    <cellStyle name="Tekst objaśnienia 5" xfId="21746"/>
    <cellStyle name="Tekst objaśnienia 6" xfId="21747"/>
    <cellStyle name="Tekst ostrzeżenia 2" xfId="21748"/>
    <cellStyle name="Tekst ostrzeżenia 2 2" xfId="21749"/>
    <cellStyle name="Tekst ostrzeżenia 2 3" xfId="21750"/>
    <cellStyle name="Tekst ostrzeżenia 3" xfId="21751"/>
    <cellStyle name="Tekst ostrzeżenia 4" xfId="21752"/>
    <cellStyle name="Tekst ostrzeżenia 5" xfId="21753"/>
    <cellStyle name="Tekst ostrzeżenia 6" xfId="21754"/>
    <cellStyle name="Tytuł 2" xfId="21755"/>
    <cellStyle name="Tytuł 2 2" xfId="21756"/>
    <cellStyle name="Tytuł 2 3" xfId="21757"/>
    <cellStyle name="Tytuł 3" xfId="21758"/>
    <cellStyle name="Tytuł 4" xfId="21759"/>
    <cellStyle name="Tytuł 5" xfId="21760"/>
    <cellStyle name="Uwaga 2" xfId="24"/>
    <cellStyle name="Uwaga 2 2" xfId="21761"/>
    <cellStyle name="Uwaga 2 3" xfId="21762"/>
    <cellStyle name="Uwaga 2 4" xfId="21763"/>
    <cellStyle name="Uwaga 3" xfId="21764"/>
    <cellStyle name="Uwaga 4" xfId="21765"/>
    <cellStyle name="Uwaga 4 2" xfId="21766"/>
    <cellStyle name="Uwaga 4 3" xfId="21767"/>
    <cellStyle name="Uwaga 5" xfId="21768"/>
    <cellStyle name="Uwaga 6" xfId="21769"/>
    <cellStyle name="Uwaga 7" xfId="21770"/>
    <cellStyle name="Uwaga 8" xfId="21771"/>
    <cellStyle name="Walutowy 2" xfId="21772"/>
    <cellStyle name="Złe 2" xfId="21773"/>
    <cellStyle name="Złe 2 2" xfId="21774"/>
    <cellStyle name="Złe 2 3" xfId="21775"/>
    <cellStyle name="Złe 3" xfId="21776"/>
    <cellStyle name="Złe 4" xfId="21777"/>
    <cellStyle name="Złe 5" xfId="21778"/>
    <cellStyle name="Złe 6" xfId="21779"/>
  </cellStyles>
  <dxfs count="0"/>
  <tableStyles count="0" defaultTableStyle="TableStyleMedium2" defaultPivotStyle="PivotStyleLight16"/>
  <colors>
    <mruColors>
      <color rgb="FF333333"/>
      <color rgb="FF767676"/>
      <color rgb="FFFF6200"/>
      <color rgb="FFFF62FF"/>
      <color rgb="FFA8A8A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pageSetUpPr fitToPage="1"/>
  </sheetPr>
  <dimension ref="A1:BF61"/>
  <sheetViews>
    <sheetView showGridLines="0" tabSelected="1" view="pageBreakPreview" zoomScaleNormal="85" zoomScaleSheetLayoutView="100" zoomScalePageLayoutView="80" workbookViewId="0">
      <pane xSplit="2" ySplit="3" topLeftCell="AS4" activePane="bottomRight" state="frozen"/>
      <selection activeCell="B1" sqref="B1"/>
      <selection pane="topRight" activeCell="B1" sqref="B1"/>
      <selection pane="bottomLeft" activeCell="B1" sqref="B1"/>
      <selection pane="bottomRight" activeCell="BC2" sqref="BC2:BF2"/>
    </sheetView>
  </sheetViews>
  <sheetFormatPr defaultColWidth="8.85546875" defaultRowHeight="13.5" outlineLevelCol="1"/>
  <cols>
    <col min="1" max="1" width="50.7109375" style="52" customWidth="1" outlineLevel="1"/>
    <col min="2" max="2" width="50.7109375" style="52" customWidth="1"/>
    <col min="3" max="27" width="9.5703125" style="17" bestFit="1" customWidth="1"/>
    <col min="28" max="28" width="9.5703125" style="13" bestFit="1" customWidth="1"/>
    <col min="29" max="32" width="9.5703125" style="13" customWidth="1"/>
    <col min="33" max="33" width="9.5703125" style="13" bestFit="1" customWidth="1"/>
    <col min="34" max="34" width="9.5703125" style="13" customWidth="1"/>
    <col min="35" max="35" width="9.5703125" style="13" bestFit="1" customWidth="1"/>
    <col min="36" max="36" width="9.5703125" style="13" customWidth="1"/>
    <col min="37" max="37" width="9.5703125" style="13" bestFit="1" customWidth="1"/>
    <col min="38" max="46" width="9.5703125" style="13" customWidth="1"/>
    <col min="47" max="48" width="9.5703125" style="13" bestFit="1" customWidth="1"/>
    <col min="49" max="50" width="9.5703125" style="13" customWidth="1"/>
    <col min="51" max="52" width="9.5703125" style="13" bestFit="1" customWidth="1"/>
    <col min="53" max="54" width="9.5703125" style="13" customWidth="1"/>
    <col min="55" max="56" width="9.5703125" style="13" bestFit="1" customWidth="1"/>
    <col min="57" max="58" width="9.5703125" style="13" customWidth="1"/>
    <col min="59" max="16384" width="8.85546875" style="13"/>
  </cols>
  <sheetData>
    <row r="1" spans="1:58">
      <c r="A1" s="53" t="s">
        <v>424</v>
      </c>
      <c r="B1" s="53" t="s">
        <v>425</v>
      </c>
      <c r="AY1" s="350" t="s">
        <v>901</v>
      </c>
      <c r="AZ1" s="172"/>
      <c r="BA1" s="172"/>
      <c r="BB1" s="172"/>
    </row>
    <row r="2" spans="1:58">
      <c r="A2" s="639" t="s">
        <v>293</v>
      </c>
      <c r="B2" s="639" t="s">
        <v>140</v>
      </c>
      <c r="C2" s="636">
        <v>2007</v>
      </c>
      <c r="D2" s="641"/>
      <c r="E2" s="641"/>
      <c r="F2" s="642"/>
      <c r="G2" s="637">
        <v>2008</v>
      </c>
      <c r="H2" s="641"/>
      <c r="I2" s="641"/>
      <c r="J2" s="641"/>
      <c r="K2" s="636">
        <v>2009</v>
      </c>
      <c r="L2" s="641"/>
      <c r="M2" s="641"/>
      <c r="N2" s="642"/>
      <c r="O2" s="636">
        <v>2010</v>
      </c>
      <c r="P2" s="641"/>
      <c r="Q2" s="641"/>
      <c r="R2" s="641"/>
      <c r="S2" s="636">
        <v>2011</v>
      </c>
      <c r="T2" s="641"/>
      <c r="U2" s="641"/>
      <c r="V2" s="641"/>
      <c r="W2" s="636">
        <v>2012</v>
      </c>
      <c r="X2" s="641"/>
      <c r="Y2" s="641"/>
      <c r="Z2" s="642"/>
      <c r="AA2" s="636">
        <v>2013</v>
      </c>
      <c r="AB2" s="641"/>
      <c r="AC2" s="641"/>
      <c r="AD2" s="642"/>
      <c r="AE2" s="636">
        <v>2014</v>
      </c>
      <c r="AF2" s="641"/>
      <c r="AG2" s="641"/>
      <c r="AH2" s="641"/>
      <c r="AI2" s="636">
        <v>2015</v>
      </c>
      <c r="AJ2" s="641"/>
      <c r="AK2" s="641"/>
      <c r="AL2" s="641"/>
      <c r="AM2" s="636">
        <v>2016</v>
      </c>
      <c r="AN2" s="641"/>
      <c r="AO2" s="641"/>
      <c r="AP2" s="642"/>
      <c r="AQ2" s="645">
        <v>2017</v>
      </c>
      <c r="AR2" s="641"/>
      <c r="AS2" s="641"/>
      <c r="AT2" s="646"/>
      <c r="AU2" s="647">
        <v>2018</v>
      </c>
      <c r="AV2" s="643"/>
      <c r="AW2" s="643"/>
      <c r="AX2" s="648"/>
      <c r="AY2" s="643">
        <v>2019</v>
      </c>
      <c r="AZ2" s="643"/>
      <c r="BA2" s="643"/>
      <c r="BB2" s="644"/>
      <c r="BC2" s="636">
        <v>2020</v>
      </c>
      <c r="BD2" s="637"/>
      <c r="BE2" s="637"/>
      <c r="BF2" s="638"/>
    </row>
    <row r="3" spans="1:58" s="14" customFormat="1">
      <c r="A3" s="640"/>
      <c r="B3" s="640"/>
      <c r="C3" s="20" t="s">
        <v>149</v>
      </c>
      <c r="D3" s="21" t="s">
        <v>150</v>
      </c>
      <c r="E3" s="21" t="s">
        <v>151</v>
      </c>
      <c r="F3" s="43" t="s">
        <v>152</v>
      </c>
      <c r="G3" s="21" t="s">
        <v>149</v>
      </c>
      <c r="H3" s="21" t="s">
        <v>150</v>
      </c>
      <c r="I3" s="21" t="s">
        <v>151</v>
      </c>
      <c r="J3" s="21" t="s">
        <v>152</v>
      </c>
      <c r="K3" s="20" t="s">
        <v>149</v>
      </c>
      <c r="L3" s="21" t="s">
        <v>150</v>
      </c>
      <c r="M3" s="21" t="s">
        <v>151</v>
      </c>
      <c r="N3" s="43" t="s">
        <v>152</v>
      </c>
      <c r="O3" s="20" t="s">
        <v>149</v>
      </c>
      <c r="P3" s="21" t="s">
        <v>150</v>
      </c>
      <c r="Q3" s="21" t="s">
        <v>151</v>
      </c>
      <c r="R3" s="21" t="s">
        <v>152</v>
      </c>
      <c r="S3" s="20" t="s">
        <v>149</v>
      </c>
      <c r="T3" s="21" t="s">
        <v>150</v>
      </c>
      <c r="U3" s="21" t="s">
        <v>151</v>
      </c>
      <c r="V3" s="43" t="s">
        <v>152</v>
      </c>
      <c r="W3" s="20" t="s">
        <v>149</v>
      </c>
      <c r="X3" s="21" t="s">
        <v>150</v>
      </c>
      <c r="Y3" s="21" t="s">
        <v>151</v>
      </c>
      <c r="Z3" s="43" t="s">
        <v>152</v>
      </c>
      <c r="AA3" s="20" t="s">
        <v>149</v>
      </c>
      <c r="AB3" s="21" t="s">
        <v>150</v>
      </c>
      <c r="AC3" s="21" t="s">
        <v>151</v>
      </c>
      <c r="AD3" s="43" t="s">
        <v>152</v>
      </c>
      <c r="AE3" s="21" t="s">
        <v>149</v>
      </c>
      <c r="AF3" s="21" t="s">
        <v>150</v>
      </c>
      <c r="AG3" s="21" t="s">
        <v>151</v>
      </c>
      <c r="AH3" s="21" t="s">
        <v>152</v>
      </c>
      <c r="AI3" s="20" t="s">
        <v>149</v>
      </c>
      <c r="AJ3" s="21" t="s">
        <v>150</v>
      </c>
      <c r="AK3" s="21" t="s">
        <v>151</v>
      </c>
      <c r="AL3" s="43" t="s">
        <v>152</v>
      </c>
      <c r="AM3" s="20" t="s">
        <v>149</v>
      </c>
      <c r="AN3" s="21" t="s">
        <v>150</v>
      </c>
      <c r="AO3" s="21" t="s">
        <v>151</v>
      </c>
      <c r="AP3" s="43" t="s">
        <v>152</v>
      </c>
      <c r="AQ3" s="20" t="s">
        <v>149</v>
      </c>
      <c r="AR3" s="21" t="s">
        <v>150</v>
      </c>
      <c r="AS3" s="21" t="s">
        <v>151</v>
      </c>
      <c r="AT3" s="43" t="s">
        <v>152</v>
      </c>
      <c r="AU3" s="20" t="s">
        <v>149</v>
      </c>
      <c r="AV3" s="21" t="s">
        <v>150</v>
      </c>
      <c r="AW3" s="21" t="s">
        <v>151</v>
      </c>
      <c r="AX3" s="348" t="s">
        <v>152</v>
      </c>
      <c r="AY3" s="349" t="s">
        <v>149</v>
      </c>
      <c r="AZ3" s="21" t="s">
        <v>150</v>
      </c>
      <c r="BA3" s="21" t="s">
        <v>151</v>
      </c>
      <c r="BB3" s="21" t="s">
        <v>152</v>
      </c>
      <c r="BC3" s="20" t="s">
        <v>149</v>
      </c>
      <c r="BD3" s="21" t="s">
        <v>150</v>
      </c>
      <c r="BE3" s="21" t="s">
        <v>151</v>
      </c>
      <c r="BF3" s="21" t="s">
        <v>152</v>
      </c>
    </row>
    <row r="4" spans="1:58" s="418" customFormat="1" ht="12.75" customHeight="1">
      <c r="A4" s="413" t="s">
        <v>154</v>
      </c>
      <c r="B4" s="413" t="s">
        <v>11</v>
      </c>
      <c r="C4" s="414"/>
      <c r="D4" s="415"/>
      <c r="E4" s="415"/>
      <c r="F4" s="416"/>
      <c r="G4" s="415"/>
      <c r="H4" s="415"/>
      <c r="I4" s="415"/>
      <c r="J4" s="416"/>
      <c r="K4" s="414"/>
      <c r="L4" s="415"/>
      <c r="M4" s="415"/>
      <c r="N4" s="416"/>
      <c r="O4" s="414"/>
      <c r="P4" s="415"/>
      <c r="Q4" s="415"/>
      <c r="R4" s="416"/>
      <c r="S4" s="414"/>
      <c r="T4" s="415"/>
      <c r="U4" s="415"/>
      <c r="V4" s="416"/>
      <c r="W4" s="414"/>
      <c r="X4" s="415"/>
      <c r="Y4" s="415"/>
      <c r="Z4" s="416"/>
      <c r="AA4" s="414"/>
      <c r="AB4" s="415"/>
      <c r="AC4" s="415"/>
      <c r="AD4" s="416"/>
      <c r="AE4" s="415"/>
      <c r="AF4" s="415"/>
      <c r="AG4" s="415"/>
      <c r="AH4" s="415"/>
      <c r="AI4" s="414"/>
      <c r="AJ4" s="415"/>
      <c r="AK4" s="415"/>
      <c r="AL4" s="416"/>
      <c r="AM4" s="414"/>
      <c r="AN4" s="415"/>
      <c r="AO4" s="415"/>
      <c r="AP4" s="416"/>
      <c r="AQ4" s="414"/>
      <c r="AR4" s="415"/>
      <c r="AS4" s="415"/>
      <c r="AT4" s="416"/>
      <c r="AU4" s="417"/>
      <c r="AX4" s="419"/>
      <c r="AY4" s="420"/>
      <c r="BC4" s="417"/>
    </row>
    <row r="5" spans="1:58" s="424" customFormat="1" ht="11.25">
      <c r="A5" s="421" t="s">
        <v>303</v>
      </c>
      <c r="B5" s="421" t="s">
        <v>144</v>
      </c>
      <c r="C5" s="414"/>
      <c r="D5" s="415"/>
      <c r="E5" s="415"/>
      <c r="F5" s="416"/>
      <c r="G5" s="415"/>
      <c r="H5" s="415"/>
      <c r="I5" s="415"/>
      <c r="J5" s="416"/>
      <c r="K5" s="414"/>
      <c r="L5" s="415"/>
      <c r="M5" s="415"/>
      <c r="N5" s="416"/>
      <c r="O5" s="414"/>
      <c r="P5" s="415"/>
      <c r="Q5" s="415"/>
      <c r="R5" s="416"/>
      <c r="S5" s="414"/>
      <c r="T5" s="415"/>
      <c r="U5" s="415"/>
      <c r="V5" s="416"/>
      <c r="W5" s="414"/>
      <c r="X5" s="415"/>
      <c r="Y5" s="415"/>
      <c r="Z5" s="416"/>
      <c r="AA5" s="414"/>
      <c r="AB5" s="415"/>
      <c r="AC5" s="415"/>
      <c r="AD5" s="416"/>
      <c r="AE5" s="415"/>
      <c r="AF5" s="415"/>
      <c r="AG5" s="415"/>
      <c r="AH5" s="415"/>
      <c r="AI5" s="414"/>
      <c r="AJ5" s="415"/>
      <c r="AK5" s="415"/>
      <c r="AL5" s="416"/>
      <c r="AM5" s="414"/>
      <c r="AN5" s="415"/>
      <c r="AO5" s="415"/>
      <c r="AP5" s="416"/>
      <c r="AQ5" s="414"/>
      <c r="AR5" s="415"/>
      <c r="AS5" s="415"/>
      <c r="AT5" s="416"/>
      <c r="AU5" s="414"/>
      <c r="AV5" s="415"/>
      <c r="AW5" s="415"/>
      <c r="AX5" s="422"/>
      <c r="AY5" s="423"/>
      <c r="AZ5" s="415"/>
      <c r="BA5" s="415"/>
      <c r="BB5" s="415"/>
      <c r="BC5" s="414"/>
      <c r="BD5" s="415"/>
      <c r="BE5" s="415"/>
      <c r="BF5" s="415"/>
    </row>
    <row r="6" spans="1:58" s="428" customFormat="1" ht="12">
      <c r="A6" s="411" t="s">
        <v>948</v>
      </c>
      <c r="B6" s="411" t="s">
        <v>949</v>
      </c>
      <c r="C6" s="425">
        <f>'RZiS_P&amp;L'!C18+'RZiS_P&amp;L'!C23</f>
        <v>539.20000000000005</v>
      </c>
      <c r="D6" s="337">
        <f>'RZiS_P&amp;L'!D18+'RZiS_P&amp;L'!D23</f>
        <v>522.20000000000016</v>
      </c>
      <c r="E6" s="337">
        <f>'RZiS_P&amp;L'!E18+'RZiS_P&amp;L'!E23</f>
        <v>542.29999999999995</v>
      </c>
      <c r="F6" s="338">
        <f>'RZiS_P&amp;L'!F18+'RZiS_P&amp;L'!F23</f>
        <v>473.19999999999993</v>
      </c>
      <c r="G6" s="337">
        <f>'RZiS_P&amp;L'!G18+'RZiS_P&amp;L'!G23</f>
        <v>582.70000000000005</v>
      </c>
      <c r="H6" s="337">
        <f>'RZiS_P&amp;L'!H18+'RZiS_P&amp;L'!H23</f>
        <v>625.69999999999993</v>
      </c>
      <c r="I6" s="337">
        <f>'RZiS_P&amp;L'!I18+'RZiS_P&amp;L'!I23</f>
        <v>620.20000000000005</v>
      </c>
      <c r="J6" s="338">
        <f>'RZiS_P&amp;L'!J18+'RZiS_P&amp;L'!J23</f>
        <v>303.89999999999998</v>
      </c>
      <c r="K6" s="425">
        <f>'RZiS_P&amp;L'!K18+'RZiS_P&amp;L'!K23</f>
        <v>561.39999999999986</v>
      </c>
      <c r="L6" s="337">
        <f>'RZiS_P&amp;L'!L18+'RZiS_P&amp;L'!L23</f>
        <v>689.1</v>
      </c>
      <c r="M6" s="337">
        <f>'RZiS_P&amp;L'!M18+'RZiS_P&amp;L'!M23</f>
        <v>708.39999999999986</v>
      </c>
      <c r="N6" s="338">
        <f>'RZiS_P&amp;L'!N18+'RZiS_P&amp;L'!N23</f>
        <v>589.69999999999993</v>
      </c>
      <c r="O6" s="425">
        <f>'RZiS_P&amp;L'!O18+'RZiS_P&amp;L'!O23</f>
        <v>661.99999999999989</v>
      </c>
      <c r="P6" s="337">
        <f>'RZiS_P&amp;L'!P18+'RZiS_P&amp;L'!P23</f>
        <v>682.5</v>
      </c>
      <c r="Q6" s="337">
        <f>'RZiS_P&amp;L'!Q18+'RZiS_P&amp;L'!Q23</f>
        <v>704.09999999999991</v>
      </c>
      <c r="R6" s="338">
        <f>'RZiS_P&amp;L'!R18+'RZiS_P&amp;L'!R23</f>
        <v>698.59999999999991</v>
      </c>
      <c r="S6" s="425">
        <f>'RZiS_P&amp;L'!S18+'RZiS_P&amp;L'!S23</f>
        <v>741.6</v>
      </c>
      <c r="T6" s="337">
        <f>'RZiS_P&amp;L'!T18+'RZiS_P&amp;L'!T23</f>
        <v>759.5</v>
      </c>
      <c r="U6" s="337">
        <f>'RZiS_P&amp;L'!U18+'RZiS_P&amp;L'!U23</f>
        <v>734.80000000000007</v>
      </c>
      <c r="V6" s="338">
        <f>'RZiS_P&amp;L'!V18+'RZiS_P&amp;L'!V23</f>
        <v>754.1</v>
      </c>
      <c r="W6" s="425">
        <f>'RZiS_P&amp;L'!W18+'RZiS_P&amp;L'!W23</f>
        <v>856.80000000000007</v>
      </c>
      <c r="X6" s="337">
        <f>'RZiS_P&amp;L'!X18+'RZiS_P&amp;L'!X23</f>
        <v>803.5</v>
      </c>
      <c r="Y6" s="337">
        <f>'RZiS_P&amp;L'!Y18+'RZiS_P&amp;L'!Y23</f>
        <v>801.49999999999989</v>
      </c>
      <c r="Z6" s="338">
        <f>'RZiS_P&amp;L'!Z18+'RZiS_P&amp;L'!Z23</f>
        <v>783.30000000000007</v>
      </c>
      <c r="AA6" s="425">
        <f>'RZiS_P&amp;L'!AA18+'RZiS_P&amp;L'!AA23</f>
        <v>864.19999999999993</v>
      </c>
      <c r="AB6" s="337">
        <f>'RZiS_P&amp;L'!AB18+'RZiS_P&amp;L'!AB23</f>
        <v>814.09999999999991</v>
      </c>
      <c r="AC6" s="337">
        <f>'RZiS_P&amp;L'!AC18+'RZiS_P&amp;L'!AC23</f>
        <v>811.10000000000014</v>
      </c>
      <c r="AD6" s="338">
        <f>'RZiS_P&amp;L'!AD18+'RZiS_P&amp;L'!AD23</f>
        <v>839.1</v>
      </c>
      <c r="AE6" s="337">
        <f>'RZiS_P&amp;L'!AE18+'RZiS_P&amp;L'!AE23</f>
        <v>883.8</v>
      </c>
      <c r="AF6" s="337">
        <f>'RZiS_P&amp;L'!AF18+'RZiS_P&amp;L'!AF23</f>
        <v>897.7</v>
      </c>
      <c r="AG6" s="337">
        <f>'RZiS_P&amp;L'!AG18+'RZiS_P&amp;L'!AG23</f>
        <v>897.30000000000018</v>
      </c>
      <c r="AH6" s="337">
        <f>'RZiS_P&amp;L'!AH18+'RZiS_P&amp;L'!AH23</f>
        <v>866</v>
      </c>
      <c r="AI6" s="425">
        <f>'RZiS_P&amp;L'!AI18+'RZiS_P&amp;L'!AI23</f>
        <v>906</v>
      </c>
      <c r="AJ6" s="337">
        <f>'RZiS_P&amp;L'!AJ18+'RZiS_P&amp;L'!AJ23</f>
        <v>981.4</v>
      </c>
      <c r="AK6" s="337">
        <f>'RZiS_P&amp;L'!AK18+'RZiS_P&amp;L'!AK23</f>
        <v>937.1</v>
      </c>
      <c r="AL6" s="338">
        <f>'RZiS_P&amp;L'!AL18+'RZiS_P&amp;L'!AL23</f>
        <v>953.6</v>
      </c>
      <c r="AM6" s="425">
        <f>'RZiS_P&amp;L'!AM18+'RZiS_P&amp;L'!AM23</f>
        <v>975.6</v>
      </c>
      <c r="AN6" s="337">
        <f>'RZiS_P&amp;L'!AN18+'RZiS_P&amp;L'!AN23</f>
        <v>1152.4000000000001</v>
      </c>
      <c r="AO6" s="337">
        <f>'RZiS_P&amp;L'!AO18+'RZiS_P&amp;L'!AO23</f>
        <v>1074.5000000000002</v>
      </c>
      <c r="AP6" s="338">
        <f>'RZiS_P&amp;L'!AP18+'RZiS_P&amp;L'!AP23</f>
        <v>1121.9999999999998</v>
      </c>
      <c r="AQ6" s="425">
        <f>'RZiS_P&amp;L'!AQ18+'RZiS_P&amp;L'!AQ23</f>
        <v>1135.3</v>
      </c>
      <c r="AR6" s="337">
        <f>'RZiS_P&amp;L'!AR18+'RZiS_P&amp;L'!AR23</f>
        <v>1191.5999999999999</v>
      </c>
      <c r="AS6" s="337">
        <f>'RZiS_P&amp;L'!AS18+'RZiS_P&amp;L'!AS23</f>
        <v>1214.8999999999996</v>
      </c>
      <c r="AT6" s="338">
        <f>'RZiS_P&amp;L'!AT18+'RZiS_P&amp;L'!AT23</f>
        <v>1227.3000000000002</v>
      </c>
      <c r="AU6" s="425">
        <f>'RZiS_P&amp;L'!AU18+'RZiS_P&amp;L'!AU23</f>
        <v>1256.8999999999999</v>
      </c>
      <c r="AV6" s="337">
        <f>'RZiS_P&amp;L'!AV18+'RZiS_P&amp;L'!AV23</f>
        <v>1310.2000000000003</v>
      </c>
      <c r="AW6" s="337">
        <f>'RZiS_P&amp;L'!AW18+'RZiS_P&amp;L'!AW23</f>
        <v>1305.8999999999999</v>
      </c>
      <c r="AX6" s="426">
        <f>'RZiS_P&amp;L'!AX18+'RZiS_P&amp;L'!AX23</f>
        <v>1359.4000000000003</v>
      </c>
      <c r="AY6" s="427">
        <f>'RZiS_P&amp;L'!AY18+'RZiS_P&amp;L'!AY23</f>
        <v>1386.3000000000004</v>
      </c>
      <c r="AZ6" s="337">
        <f>'RZiS_P&amp;L'!AZ18+'RZiS_P&amp;L'!AZ23</f>
        <v>1451.1999999999998</v>
      </c>
      <c r="BA6" s="337">
        <f>'RZiS_P&amp;L'!BA18+'RZiS_P&amp;L'!BA23</f>
        <v>1472.1</v>
      </c>
      <c r="BB6" s="337">
        <f>'RZiS_P&amp;L'!BB18+'RZiS_P&amp;L'!BB23</f>
        <v>1486.7999999999997</v>
      </c>
      <c r="BC6" s="425">
        <f>'RZiS_P&amp;L'!BC18+'RZiS_P&amp;L'!BC23</f>
        <v>1562.7</v>
      </c>
      <c r="BD6" s="337">
        <f>'RZiS_P&amp;L'!BD18+'RZiS_P&amp;L'!BD23</f>
        <v>1512.1000000000004</v>
      </c>
      <c r="BE6" s="337">
        <f>'RZiS_P&amp;L'!BE18+'RZiS_P&amp;L'!BE23</f>
        <v>1552.1000000000004</v>
      </c>
      <c r="BF6" s="337">
        <f>'RZiS_P&amp;L'!BF18+'RZiS_P&amp;L'!BF23</f>
        <v>1603.8000000000002</v>
      </c>
    </row>
    <row r="7" spans="1:58" s="428" customFormat="1" ht="11.25">
      <c r="A7" s="411" t="s">
        <v>541</v>
      </c>
      <c r="B7" s="411" t="s">
        <v>540</v>
      </c>
      <c r="C7" s="425">
        <f>'RZiS_P&amp;L'!C19</f>
        <v>336.1</v>
      </c>
      <c r="D7" s="337">
        <f>'RZiS_P&amp;L'!D19</f>
        <v>345</v>
      </c>
      <c r="E7" s="337">
        <f>'RZiS_P&amp;L'!E19</f>
        <v>356.9</v>
      </c>
      <c r="F7" s="338">
        <f>'RZiS_P&amp;L'!F19-'RZiS_P&amp;L'!F20</f>
        <v>355.1</v>
      </c>
      <c r="G7" s="337">
        <f>'RZiS_P&amp;L'!G19</f>
        <v>367.69999999999993</v>
      </c>
      <c r="H7" s="337">
        <f>'RZiS_P&amp;L'!H19</f>
        <v>389.9</v>
      </c>
      <c r="I7" s="337">
        <f>'RZiS_P&amp;L'!I19</f>
        <v>407.7</v>
      </c>
      <c r="J7" s="338">
        <f>'RZiS_P&amp;L'!J19-'RZiS_P&amp;L'!J20</f>
        <v>338.59999999999997</v>
      </c>
      <c r="K7" s="425">
        <f>'RZiS_P&amp;L'!K19</f>
        <v>366.79999999999995</v>
      </c>
      <c r="L7" s="337">
        <f>'RZiS_P&amp;L'!L19</f>
        <v>386.6</v>
      </c>
      <c r="M7" s="337">
        <f>'RZiS_P&amp;L'!M19</f>
        <v>397.29999999999995</v>
      </c>
      <c r="N7" s="338">
        <f>'RZiS_P&amp;L'!N19-'RZiS_P&amp;L'!N20</f>
        <v>355.2</v>
      </c>
      <c r="O7" s="425">
        <f>'RZiS_P&amp;L'!O19</f>
        <v>394.4</v>
      </c>
      <c r="P7" s="337">
        <f>'RZiS_P&amp;L'!P19</f>
        <v>407.1</v>
      </c>
      <c r="Q7" s="337">
        <f>'RZiS_P&amp;L'!Q19</f>
        <v>411.6</v>
      </c>
      <c r="R7" s="338">
        <f>'RZiS_P&amp;L'!R19-'RZiS_P&amp;L'!R20</f>
        <v>396.4</v>
      </c>
      <c r="S7" s="425">
        <f>'RZiS_P&amp;L'!S19</f>
        <v>417.4</v>
      </c>
      <c r="T7" s="337">
        <f>'RZiS_P&amp;L'!T19</f>
        <v>431.8</v>
      </c>
      <c r="U7" s="337">
        <f>'RZiS_P&amp;L'!U19</f>
        <v>431.1</v>
      </c>
      <c r="V7" s="338">
        <f>'RZiS_P&amp;L'!V19-'RZiS_P&amp;L'!V20</f>
        <v>419.7</v>
      </c>
      <c r="W7" s="425">
        <f>'RZiS_P&amp;L'!W19</f>
        <v>474.90000000000003</v>
      </c>
      <c r="X7" s="337">
        <f>'RZiS_P&amp;L'!X19</f>
        <v>465</v>
      </c>
      <c r="Y7" s="337">
        <f>'RZiS_P&amp;L'!Y19</f>
        <v>466.2</v>
      </c>
      <c r="Z7" s="338">
        <f>'RZiS_P&amp;L'!Z19-'RZiS_P&amp;L'!Z20</f>
        <v>460.1</v>
      </c>
      <c r="AA7" s="425">
        <f>'RZiS_P&amp;L'!AA19</f>
        <v>482.2</v>
      </c>
      <c r="AB7" s="337">
        <f>'RZiS_P&amp;L'!AB19</f>
        <v>477</v>
      </c>
      <c r="AC7" s="337">
        <f>'RZiS_P&amp;L'!AC19</f>
        <v>458.79999999999995</v>
      </c>
      <c r="AD7" s="338">
        <f>'RZiS_P&amp;L'!AD19-'RZiS_P&amp;L'!AD20</f>
        <v>450.40000000000003</v>
      </c>
      <c r="AE7" s="337">
        <f>'RZiS_P&amp;L'!AE19-'RZiS_P&amp;L'!AE20</f>
        <v>471.20000000000005</v>
      </c>
      <c r="AF7" s="337">
        <f>'RZiS_P&amp;L'!AF19-'RZiS_P&amp;L'!AF20</f>
        <v>480.5</v>
      </c>
      <c r="AG7" s="337">
        <f>'RZiS_P&amp;L'!AG19-'RZiS_P&amp;L'!AG20</f>
        <v>489.5</v>
      </c>
      <c r="AH7" s="337">
        <f>'RZiS_P&amp;L'!AH19-'RZiS_P&amp;L'!AH20</f>
        <v>488.5</v>
      </c>
      <c r="AI7" s="425">
        <f>'RZiS_P&amp;L'!AI19-'RZiS_P&amp;L'!AI20</f>
        <v>495.6</v>
      </c>
      <c r="AJ7" s="337">
        <f>'RZiS_P&amp;L'!AJ19-'RZiS_P&amp;L'!AJ20</f>
        <v>502.29999999999995</v>
      </c>
      <c r="AK7" s="337">
        <f>'RZiS_P&amp;L'!AK19-'RZiS_P&amp;L'!AK20</f>
        <v>509.8</v>
      </c>
      <c r="AL7" s="338">
        <f>'RZiS_P&amp;L'!AL19-'RZiS_P&amp;L'!AL20</f>
        <v>648</v>
      </c>
      <c r="AM7" s="425">
        <f>'RZiS_P&amp;L'!AM19</f>
        <v>508.8</v>
      </c>
      <c r="AN7" s="337">
        <f>'RZiS_P&amp;L'!AN19</f>
        <v>517.20000000000005</v>
      </c>
      <c r="AO7" s="337">
        <f>'RZiS_P&amp;L'!AO19</f>
        <v>515.5</v>
      </c>
      <c r="AP7" s="338">
        <f>'RZiS_P&amp;L'!AP19</f>
        <v>557.69999999999993</v>
      </c>
      <c r="AQ7" s="425">
        <f>'RZiS_P&amp;L'!AQ19</f>
        <v>565.6</v>
      </c>
      <c r="AR7" s="337">
        <f>'RZiS_P&amp;L'!AR19</f>
        <v>512.1</v>
      </c>
      <c r="AS7" s="337">
        <f>'RZiS_P&amp;L'!AS19</f>
        <v>529.6</v>
      </c>
      <c r="AT7" s="338">
        <f>'RZiS_P&amp;L'!AT19</f>
        <v>528.5</v>
      </c>
      <c r="AU7" s="425">
        <f>'RZiS_P&amp;L'!AU19</f>
        <v>628.30000000000007</v>
      </c>
      <c r="AV7" s="337">
        <f>'RZiS_P&amp;L'!AV19</f>
        <v>554.99999999999989</v>
      </c>
      <c r="AW7" s="337">
        <f>'RZiS_P&amp;L'!AW19</f>
        <v>577.20000000000005</v>
      </c>
      <c r="AX7" s="426">
        <f>'RZiS_P&amp;L'!AX19</f>
        <v>566.29999999999995</v>
      </c>
      <c r="AY7" s="427">
        <f>'RZiS_P&amp;L'!AY19</f>
        <v>721.1</v>
      </c>
      <c r="AZ7" s="337">
        <f>'RZiS_P&amp;L'!AZ19</f>
        <v>581.1</v>
      </c>
      <c r="BA7" s="337">
        <f>'RZiS_P&amp;L'!BA19</f>
        <v>604.4</v>
      </c>
      <c r="BB7" s="337">
        <f>'RZiS_P&amp;L'!BB19</f>
        <v>590.79999999999995</v>
      </c>
      <c r="BC7" s="425">
        <f>'RZiS_P&amp;L'!BC19</f>
        <v>775</v>
      </c>
      <c r="BD7" s="337">
        <f>'RZiS_P&amp;L'!BD19</f>
        <v>638.5</v>
      </c>
      <c r="BE7" s="337">
        <f>'RZiS_P&amp;L'!BE19</f>
        <v>666.7</v>
      </c>
      <c r="BF7" s="337">
        <f>'RZiS_P&amp;L'!BF19</f>
        <v>682.3</v>
      </c>
    </row>
    <row r="8" spans="1:58" s="428" customFormat="1" ht="22.5">
      <c r="A8" s="411" t="s">
        <v>941</v>
      </c>
      <c r="B8" s="411" t="s">
        <v>942</v>
      </c>
      <c r="C8" s="425">
        <f>'RZiS_P&amp;L'!C21</f>
        <v>-6.3</v>
      </c>
      <c r="D8" s="337">
        <f>'RZiS_P&amp;L'!D21</f>
        <v>-26.7</v>
      </c>
      <c r="E8" s="337">
        <f>'RZiS_P&amp;L'!E21</f>
        <v>-64.400000000000006</v>
      </c>
      <c r="F8" s="338">
        <f>'RZiS_P&amp;L'!F21</f>
        <v>-5.8</v>
      </c>
      <c r="G8" s="337">
        <f>'RZiS_P&amp;L'!G21</f>
        <v>0.7</v>
      </c>
      <c r="H8" s="337">
        <f>'RZiS_P&amp;L'!H21</f>
        <v>-58.8</v>
      </c>
      <c r="I8" s="337">
        <f>'RZiS_P&amp;L'!I21</f>
        <v>7.2</v>
      </c>
      <c r="J8" s="338">
        <f>'RZiS_P&amp;L'!J21</f>
        <v>116.5</v>
      </c>
      <c r="K8" s="425">
        <f>'RZiS_P&amp;L'!K21</f>
        <v>91.7</v>
      </c>
      <c r="L8" s="337">
        <f>'RZiS_P&amp;L'!L21</f>
        <v>73.8</v>
      </c>
      <c r="M8" s="337">
        <f>'RZiS_P&amp;L'!M21</f>
        <v>54.1</v>
      </c>
      <c r="N8" s="338">
        <f>'RZiS_P&amp;L'!N21</f>
        <v>84.8</v>
      </c>
      <c r="O8" s="425">
        <f>'RZiS_P&amp;L'!O21</f>
        <v>48.1</v>
      </c>
      <c r="P8" s="337">
        <f>'RZiS_P&amp;L'!P21</f>
        <v>39.200000000000003</v>
      </c>
      <c r="Q8" s="337">
        <f>'RZiS_P&amp;L'!Q21</f>
        <v>55.1</v>
      </c>
      <c r="R8" s="338">
        <f>'RZiS_P&amp;L'!R21</f>
        <v>61.2</v>
      </c>
      <c r="S8" s="425">
        <f>'RZiS_P&amp;L'!S21</f>
        <v>57.1</v>
      </c>
      <c r="T8" s="337">
        <f>'RZiS_P&amp;L'!T21</f>
        <v>37.700000000000003</v>
      </c>
      <c r="U8" s="337">
        <f>'RZiS_P&amp;L'!U21</f>
        <v>27.1</v>
      </c>
      <c r="V8" s="338">
        <f>'RZiS_P&amp;L'!V21</f>
        <v>50.5</v>
      </c>
      <c r="W8" s="425">
        <f>'RZiS_P&amp;L'!W21</f>
        <v>64.3</v>
      </c>
      <c r="X8" s="337">
        <f>'RZiS_P&amp;L'!X21</f>
        <v>131.19999999999999</v>
      </c>
      <c r="Y8" s="337">
        <f>'RZiS_P&amp;L'!Y21</f>
        <v>82.600000000000023</v>
      </c>
      <c r="Z8" s="338">
        <f>'RZiS_P&amp;L'!Z21</f>
        <v>84.7</v>
      </c>
      <c r="AA8" s="425">
        <f>'RZiS_P&amp;L'!AA21</f>
        <v>58</v>
      </c>
      <c r="AB8" s="337">
        <f>'RZiS_P&amp;L'!AB21</f>
        <v>69.099999999999994</v>
      </c>
      <c r="AC8" s="337">
        <f>'RZiS_P&amp;L'!AC21</f>
        <v>63.7</v>
      </c>
      <c r="AD8" s="338">
        <f>'RZiS_P&amp;L'!AD21</f>
        <v>76.399999999999991</v>
      </c>
      <c r="AE8" s="337">
        <f>'RZiS_P&amp;L'!AE21</f>
        <v>84.1</v>
      </c>
      <c r="AF8" s="337">
        <f>'RZiS_P&amp;L'!AF21</f>
        <v>33.299999999999997</v>
      </c>
      <c r="AG8" s="337">
        <f>'RZiS_P&amp;L'!AG21</f>
        <v>65.2</v>
      </c>
      <c r="AH8" s="337">
        <f>'RZiS_P&amp;L'!AH21</f>
        <v>85.1</v>
      </c>
      <c r="AI8" s="425">
        <f>'RZiS_P&amp;L'!AI21</f>
        <v>84.3</v>
      </c>
      <c r="AJ8" s="337">
        <f>'RZiS_P&amp;L'!AJ21</f>
        <v>64.3</v>
      </c>
      <c r="AK8" s="337">
        <f>'RZiS_P&amp;L'!AK21</f>
        <v>32</v>
      </c>
      <c r="AL8" s="338">
        <f>'RZiS_P&amp;L'!AL21</f>
        <v>51.5</v>
      </c>
      <c r="AM8" s="425">
        <f>'RZiS_P&amp;L'!AM21</f>
        <v>78.900000000000006</v>
      </c>
      <c r="AN8" s="337">
        <f>'RZiS_P&amp;L'!AN21</f>
        <v>33.5</v>
      </c>
      <c r="AO8" s="337">
        <f>'RZiS_P&amp;L'!AO21</f>
        <v>49.7</v>
      </c>
      <c r="AP8" s="338">
        <f>'RZiS_P&amp;L'!AP21</f>
        <v>138.5</v>
      </c>
      <c r="AQ8" s="425">
        <f>'RZiS_P&amp;L'!AQ21</f>
        <v>76.400000000000006</v>
      </c>
      <c r="AR8" s="337">
        <f>'RZiS_P&amp;L'!AR21</f>
        <v>123.1</v>
      </c>
      <c r="AS8" s="337">
        <f>'RZiS_P&amp;L'!AS21</f>
        <v>109.1</v>
      </c>
      <c r="AT8" s="338">
        <f>'RZiS_P&amp;L'!AT21</f>
        <v>112.6</v>
      </c>
      <c r="AU8" s="425">
        <f>'RZiS_P&amp;L'!AU22</f>
        <v>94.8</v>
      </c>
      <c r="AV8" s="337">
        <f>'RZiS_P&amp;L'!AV22</f>
        <v>173.7</v>
      </c>
      <c r="AW8" s="337">
        <f>'RZiS_P&amp;L'!AW22</f>
        <v>133.9</v>
      </c>
      <c r="AX8" s="426">
        <f>'RZiS_P&amp;L'!AX22</f>
        <v>98.5</v>
      </c>
      <c r="AY8" s="427">
        <f>'RZiS_P&amp;L'!AY22</f>
        <v>125</v>
      </c>
      <c r="AZ8" s="337">
        <f>'RZiS_P&amp;L'!AZ22</f>
        <v>135.9</v>
      </c>
      <c r="BA8" s="337">
        <f>'RZiS_P&amp;L'!BA22</f>
        <v>180.2</v>
      </c>
      <c r="BB8" s="337">
        <f>'RZiS_P&amp;L'!BB22</f>
        <v>164.39999999999998</v>
      </c>
      <c r="BC8" s="425">
        <f>'RZiS_P&amp;L'!BC22</f>
        <v>294.7</v>
      </c>
      <c r="BD8" s="337">
        <f>'RZiS_P&amp;L'!BD22</f>
        <v>312.39999999999998</v>
      </c>
      <c r="BE8" s="337">
        <f>'RZiS_P&amp;L'!BE22</f>
        <v>145.29999999999998</v>
      </c>
      <c r="BF8" s="337">
        <f>'RZiS_P&amp;L'!BF22</f>
        <v>322.5</v>
      </c>
    </row>
    <row r="9" spans="1:58" s="418" customFormat="1" ht="11.25">
      <c r="A9" s="429" t="s">
        <v>294</v>
      </c>
      <c r="B9" s="429" t="s">
        <v>133</v>
      </c>
      <c r="C9" s="430">
        <f>'RZiS_P&amp;L'!C24</f>
        <v>209.40000000000006</v>
      </c>
      <c r="D9" s="431">
        <f>'RZiS_P&amp;L'!D24</f>
        <v>203.90000000000018</v>
      </c>
      <c r="E9" s="431">
        <f>'RZiS_P&amp;L'!E24</f>
        <v>249.79999999999995</v>
      </c>
      <c r="F9" s="432">
        <f>'RZiS_P&amp;L'!F24</f>
        <v>123.89999999999992</v>
      </c>
      <c r="G9" s="431">
        <f>'RZiS_P&amp;L'!G24</f>
        <v>214.3000000000001</v>
      </c>
      <c r="H9" s="431">
        <f>'RZiS_P&amp;L'!H24</f>
        <v>294.59999999999991</v>
      </c>
      <c r="I9" s="431">
        <f>'RZiS_P&amp;L'!I24</f>
        <v>205.30000000000007</v>
      </c>
      <c r="J9" s="432">
        <f>'RZiS_P&amp;L'!J24</f>
        <v>-151.19999999999996</v>
      </c>
      <c r="K9" s="430">
        <f>'RZiS_P&amp;L'!K24</f>
        <v>102.89999999999988</v>
      </c>
      <c r="L9" s="431">
        <f>'RZiS_P&amp;L'!L24</f>
        <v>228.7</v>
      </c>
      <c r="M9" s="431">
        <f>'RZiS_P&amp;L'!M24</f>
        <v>256.99999999999994</v>
      </c>
      <c r="N9" s="432">
        <f>'RZiS_P&amp;L'!N24</f>
        <v>149.6999999999999</v>
      </c>
      <c r="O9" s="430">
        <f>'RZiS_P&amp;L'!O24</f>
        <v>219.49999999999997</v>
      </c>
      <c r="P9" s="431">
        <f>'RZiS_P&amp;L'!P24</f>
        <v>236.20000000000002</v>
      </c>
      <c r="Q9" s="431">
        <f>'RZiS_P&amp;L'!Q24</f>
        <v>237.39999999999986</v>
      </c>
      <c r="R9" s="432">
        <f>'RZiS_P&amp;L'!R24</f>
        <v>240.99999999999997</v>
      </c>
      <c r="S9" s="430">
        <f>'RZiS_P&amp;L'!S24</f>
        <v>267.09999999999997</v>
      </c>
      <c r="T9" s="431">
        <f>'RZiS_P&amp;L'!T24</f>
        <v>289.99999999999994</v>
      </c>
      <c r="U9" s="431">
        <f>'RZiS_P&amp;L'!U24</f>
        <v>276.59999999999997</v>
      </c>
      <c r="V9" s="432">
        <f>'RZiS_P&amp;L'!V24</f>
        <v>283.90000000000003</v>
      </c>
      <c r="W9" s="430">
        <f>'RZiS_P&amp;L'!W24</f>
        <v>317.60000000000008</v>
      </c>
      <c r="X9" s="431">
        <f>'RZiS_P&amp;L'!X24</f>
        <v>207.29999999999995</v>
      </c>
      <c r="Y9" s="431">
        <f>'RZiS_P&amp;L'!Y24</f>
        <v>252.69999999999985</v>
      </c>
      <c r="Z9" s="432">
        <f>'RZiS_P&amp;L'!Z24</f>
        <v>238.50000000000003</v>
      </c>
      <c r="AA9" s="430">
        <f>'RZiS_P&amp;L'!AA24</f>
        <v>323.99999999999994</v>
      </c>
      <c r="AB9" s="431">
        <f>'RZiS_P&amp;L'!AB24</f>
        <v>267.99999999999994</v>
      </c>
      <c r="AC9" s="431">
        <f>'RZiS_P&amp;L'!AC24</f>
        <v>288.60000000000025</v>
      </c>
      <c r="AD9" s="432">
        <f>'RZiS_P&amp;L'!AD24</f>
        <v>312.3</v>
      </c>
      <c r="AE9" s="431">
        <f>'RZiS_P&amp;L'!AE24</f>
        <v>328.49999999999983</v>
      </c>
      <c r="AF9" s="431">
        <f>'RZiS_P&amp;L'!AF24</f>
        <v>383.90000000000003</v>
      </c>
      <c r="AG9" s="431">
        <f>'RZiS_P&amp;L'!AG24</f>
        <v>342.60000000000019</v>
      </c>
      <c r="AH9" s="431">
        <f>'RZiS_P&amp;L'!AH24</f>
        <v>292.39999999999998</v>
      </c>
      <c r="AI9" s="430">
        <f>'RZiS_P&amp;L'!AI24</f>
        <v>326.09999999999997</v>
      </c>
      <c r="AJ9" s="431">
        <f>'RZiS_P&amp;L'!AJ24</f>
        <v>414.8</v>
      </c>
      <c r="AK9" s="431">
        <f>'RZiS_P&amp;L'!AK24</f>
        <v>395.3</v>
      </c>
      <c r="AL9" s="432">
        <f>'RZiS_P&amp;L'!AL24</f>
        <v>254.10000000000002</v>
      </c>
      <c r="AM9" s="430">
        <f>'RZiS_P&amp;L'!AM24</f>
        <v>337.4</v>
      </c>
      <c r="AN9" s="431">
        <f>'RZiS_P&amp;L'!AN24</f>
        <v>524.90000000000009</v>
      </c>
      <c r="AO9" s="431">
        <f>'RZiS_P&amp;L'!AO24</f>
        <v>433.60000000000025</v>
      </c>
      <c r="AP9" s="432">
        <f>'RZiS_P&amp;L'!AP24</f>
        <v>348.59999999999985</v>
      </c>
      <c r="AQ9" s="430">
        <f>'RZiS_P&amp;L'!AQ24</f>
        <v>413.9</v>
      </c>
      <c r="AR9" s="431">
        <f>'RZiS_P&amp;L'!AR24</f>
        <v>475.99999999999989</v>
      </c>
      <c r="AS9" s="431">
        <f>'RZiS_P&amp;L'!AS24</f>
        <v>492.09999999999957</v>
      </c>
      <c r="AT9" s="432">
        <f>'RZiS_P&amp;L'!AT24</f>
        <v>500.00000000000017</v>
      </c>
      <c r="AU9" s="430">
        <f>'RZiS_P&amp;L'!AU24</f>
        <v>446.29999999999978</v>
      </c>
      <c r="AV9" s="431">
        <f>'RZiS_P&amp;L'!AV24</f>
        <v>489.40000000000038</v>
      </c>
      <c r="AW9" s="431">
        <f>'RZiS_P&amp;L'!AW24</f>
        <v>500.0999999999998</v>
      </c>
      <c r="AX9" s="433">
        <f>'RZiS_P&amp;L'!AX24</f>
        <v>595.10000000000025</v>
      </c>
      <c r="AY9" s="434">
        <f>'RZiS_P&amp;L'!AY24</f>
        <v>438.00000000000023</v>
      </c>
      <c r="AZ9" s="431">
        <f>'RZiS_P&amp;L'!AZ24</f>
        <v>625.79999999999973</v>
      </c>
      <c r="BA9" s="431">
        <f>'RZiS_P&amp;L'!BA24</f>
        <v>576</v>
      </c>
      <c r="BB9" s="431">
        <f>'RZiS_P&amp;L'!BB24</f>
        <v>617.99999999999977</v>
      </c>
      <c r="BC9" s="430">
        <f>'RZiS_P&amp;L'!BC24</f>
        <v>376.99999999999994</v>
      </c>
      <c r="BD9" s="431">
        <f>'RZiS_P&amp;L'!BD24</f>
        <v>440.10000000000036</v>
      </c>
      <c r="BE9" s="431">
        <f>'RZiS_P&amp;L'!BE24</f>
        <v>618.10000000000036</v>
      </c>
      <c r="BF9" s="431">
        <f>'RZiS_P&amp;L'!BF24</f>
        <v>476.50000000000023</v>
      </c>
    </row>
    <row r="10" spans="1:58" s="418" customFormat="1" ht="12">
      <c r="A10" s="411" t="s">
        <v>950</v>
      </c>
      <c r="B10" s="411" t="s">
        <v>951</v>
      </c>
      <c r="C10" s="425">
        <f>'RZiS_P&amp;L'!C27</f>
        <v>167.40000000000006</v>
      </c>
      <c r="D10" s="337">
        <f>'RZiS_P&amp;L'!D27</f>
        <v>167.80000000000018</v>
      </c>
      <c r="E10" s="337">
        <f>'RZiS_P&amp;L'!E27</f>
        <v>197.99999999999994</v>
      </c>
      <c r="F10" s="338">
        <f>'RZiS_P&amp;L'!F27</f>
        <v>97.499999999999915</v>
      </c>
      <c r="G10" s="337">
        <f>'RZiS_P&amp;L'!G27</f>
        <v>173.8000000000001</v>
      </c>
      <c r="H10" s="337">
        <f>'RZiS_P&amp;L'!H27</f>
        <v>233.6999999999999</v>
      </c>
      <c r="I10" s="337">
        <f>'RZiS_P&amp;L'!I27</f>
        <v>166.90000000000006</v>
      </c>
      <c r="J10" s="338">
        <f>'RZiS_P&amp;L'!J27</f>
        <v>-128.99999999999997</v>
      </c>
      <c r="K10" s="425">
        <f>'RZiS_P&amp;L'!K27</f>
        <v>80.799999999999869</v>
      </c>
      <c r="L10" s="337">
        <f>'RZiS_P&amp;L'!L27</f>
        <v>182.7</v>
      </c>
      <c r="M10" s="337">
        <f>'RZiS_P&amp;L'!M27</f>
        <v>210.79999999999995</v>
      </c>
      <c r="N10" s="338">
        <f>'RZiS_P&amp;L'!N27</f>
        <v>120.7999999999999</v>
      </c>
      <c r="O10" s="425">
        <f>'RZiS_P&amp;L'!O27</f>
        <v>177.49999999999997</v>
      </c>
      <c r="P10" s="337">
        <f>'RZiS_P&amp;L'!P27</f>
        <v>191.5</v>
      </c>
      <c r="Q10" s="337">
        <f>'RZiS_P&amp;L'!Q27</f>
        <v>192.39999999999986</v>
      </c>
      <c r="R10" s="338">
        <f>'RZiS_P&amp;L'!R27</f>
        <v>191.7</v>
      </c>
      <c r="S10" s="425">
        <f>'RZiS_P&amp;L'!S27</f>
        <v>212.49999999999997</v>
      </c>
      <c r="T10" s="337">
        <f>'RZiS_P&amp;L'!T27</f>
        <v>233.89999999999995</v>
      </c>
      <c r="U10" s="337">
        <f>'RZiS_P&amp;L'!U27</f>
        <v>220.09999999999997</v>
      </c>
      <c r="V10" s="338">
        <f>'RZiS_P&amp;L'!V27</f>
        <v>213.60000000000002</v>
      </c>
      <c r="W10" s="425">
        <f>'RZiS_P&amp;L'!W27</f>
        <v>271.50000000000006</v>
      </c>
      <c r="X10" s="337">
        <f>'RZiS_P&amp;L'!X27</f>
        <v>167.59999999999997</v>
      </c>
      <c r="Y10" s="337">
        <f>'RZiS_P&amp;L'!Y27</f>
        <v>203.19999999999985</v>
      </c>
      <c r="Z10" s="338">
        <f>'RZiS_P&amp;L'!Z27</f>
        <v>190.00000000000003</v>
      </c>
      <c r="AA10" s="425">
        <f>'RZiS_P&amp;L'!AA27</f>
        <v>259.69999999999993</v>
      </c>
      <c r="AB10" s="337">
        <f>'RZiS_P&amp;L'!AB27</f>
        <v>216.89999999999995</v>
      </c>
      <c r="AC10" s="337">
        <f>'RZiS_P&amp;L'!AC27</f>
        <v>234.40000000000026</v>
      </c>
      <c r="AD10" s="338">
        <f>'RZiS_P&amp;L'!AD27</f>
        <v>250.5</v>
      </c>
      <c r="AE10" s="337">
        <f>'RZiS_P&amp;L'!AE27</f>
        <v>254.59999999999982</v>
      </c>
      <c r="AF10" s="337">
        <f>'RZiS_P&amp;L'!AF27</f>
        <v>282.3</v>
      </c>
      <c r="AG10" s="337">
        <f>'RZiS_P&amp;L'!AG27</f>
        <v>273.00000000000017</v>
      </c>
      <c r="AH10" s="337">
        <f>'RZiS_P&amp;L'!AH27</f>
        <v>230.79999999999998</v>
      </c>
      <c r="AI10" s="425">
        <f>'RZiS_P&amp;L'!AI27</f>
        <v>261</v>
      </c>
      <c r="AJ10" s="337">
        <f>'RZiS_P&amp;L'!AJ27</f>
        <v>344.6</v>
      </c>
      <c r="AK10" s="337">
        <f>'RZiS_P&amp;L'!AK27</f>
        <v>315.70000000000005</v>
      </c>
      <c r="AL10" s="338">
        <f>'RZiS_P&amp;L'!AL27</f>
        <v>205.70000000000002</v>
      </c>
      <c r="AM10" s="425">
        <f>'RZiS_P&amp;L'!AM27</f>
        <v>259.2</v>
      </c>
      <c r="AN10" s="337">
        <f>'RZiS_P&amp;L'!AN27</f>
        <v>406.90000000000009</v>
      </c>
      <c r="AO10" s="337">
        <f>'RZiS_P&amp;L'!AO27</f>
        <v>332.00000000000023</v>
      </c>
      <c r="AP10" s="338">
        <f>'RZiS_P&amp;L'!AP27</f>
        <v>254.89999999999986</v>
      </c>
      <c r="AQ10" s="425">
        <f>'RZiS_P&amp;L'!AQ27</f>
        <v>300.29999999999995</v>
      </c>
      <c r="AR10" s="337">
        <f>'RZiS_P&amp;L'!AR27</f>
        <v>360.2999999999999</v>
      </c>
      <c r="AS10" s="337">
        <f>'RZiS_P&amp;L'!AS27</f>
        <v>375.69999999999959</v>
      </c>
      <c r="AT10" s="338">
        <f>'RZiS_P&amp;L'!AT27</f>
        <v>366.80000000000018</v>
      </c>
      <c r="AU10" s="425">
        <f>'RZiS_P&amp;L'!AU27</f>
        <v>322.19999999999982</v>
      </c>
      <c r="AV10" s="337">
        <f>'RZiS_P&amp;L'!AV27</f>
        <v>371.70000000000039</v>
      </c>
      <c r="AW10" s="337">
        <f>'RZiS_P&amp;L'!AW27</f>
        <v>378.29999999999978</v>
      </c>
      <c r="AX10" s="426">
        <f>'RZiS_P&amp;L'!AX27</f>
        <v>451.60000000000025</v>
      </c>
      <c r="AY10" s="427">
        <f>'RZiS_P&amp;L'!AY27</f>
        <v>324.50000000000023</v>
      </c>
      <c r="AZ10" s="337">
        <f>'RZiS_P&amp;L'!AZ27</f>
        <v>469.09999999999974</v>
      </c>
      <c r="BA10" s="337">
        <f>'RZiS_P&amp;L'!BA27</f>
        <v>414.8</v>
      </c>
      <c r="BB10" s="337">
        <f>'RZiS_P&amp;L'!BB27</f>
        <v>450.29999999999978</v>
      </c>
      <c r="BC10" s="425">
        <f>'RZiS_P&amp;L'!BC27</f>
        <v>267.29999999999995</v>
      </c>
      <c r="BD10" s="337">
        <f>'RZiS_P&amp;L'!BD27</f>
        <v>316.20000000000039</v>
      </c>
      <c r="BE10" s="337">
        <f>'RZiS_P&amp;L'!BE27</f>
        <v>440.20000000000039</v>
      </c>
      <c r="BF10" s="337">
        <f>'RZiS_P&amp;L'!BF27</f>
        <v>313.9000000000002</v>
      </c>
    </row>
    <row r="11" spans="1:58" s="424" customFormat="1" ht="11.25">
      <c r="A11" s="421"/>
      <c r="B11" s="421"/>
      <c r="C11" s="435"/>
      <c r="D11" s="436"/>
      <c r="E11" s="436"/>
      <c r="F11" s="437"/>
      <c r="G11" s="436"/>
      <c r="H11" s="436"/>
      <c r="I11" s="436"/>
      <c r="J11" s="436"/>
      <c r="K11" s="435"/>
      <c r="L11" s="436"/>
      <c r="M11" s="436"/>
      <c r="N11" s="437"/>
      <c r="O11" s="436"/>
      <c r="P11" s="436"/>
      <c r="Q11" s="436"/>
      <c r="R11" s="436"/>
      <c r="S11" s="435"/>
      <c r="T11" s="436"/>
      <c r="U11" s="436"/>
      <c r="V11" s="437"/>
      <c r="W11" s="435"/>
      <c r="X11" s="436"/>
      <c r="Y11" s="436"/>
      <c r="Z11" s="437"/>
      <c r="AA11" s="435"/>
      <c r="AB11" s="436"/>
      <c r="AC11" s="436"/>
      <c r="AD11" s="437"/>
      <c r="AE11" s="436"/>
      <c r="AF11" s="436"/>
      <c r="AG11" s="436"/>
      <c r="AH11" s="436"/>
      <c r="AI11" s="435"/>
      <c r="AJ11" s="436"/>
      <c r="AK11" s="436"/>
      <c r="AL11" s="437"/>
      <c r="AM11" s="435"/>
      <c r="AN11" s="436"/>
      <c r="AO11" s="436"/>
      <c r="AP11" s="437"/>
      <c r="AQ11" s="435"/>
      <c r="AR11" s="436"/>
      <c r="AS11" s="436"/>
      <c r="AT11" s="437"/>
      <c r="AU11" s="435"/>
      <c r="AV11" s="436"/>
      <c r="AW11" s="436"/>
      <c r="AX11" s="438"/>
      <c r="AY11" s="439"/>
      <c r="AZ11" s="436"/>
      <c r="BA11" s="436"/>
      <c r="BB11" s="436"/>
      <c r="BC11" s="435"/>
      <c r="BD11" s="436"/>
      <c r="BE11" s="436"/>
      <c r="BF11" s="436"/>
    </row>
    <row r="12" spans="1:58" s="424" customFormat="1" ht="11.25">
      <c r="A12" s="421" t="s">
        <v>302</v>
      </c>
      <c r="B12" s="421" t="s">
        <v>370</v>
      </c>
      <c r="C12" s="440"/>
      <c r="D12" s="441"/>
      <c r="E12" s="441"/>
      <c r="F12" s="442"/>
      <c r="G12" s="441"/>
      <c r="H12" s="441"/>
      <c r="I12" s="441"/>
      <c r="J12" s="441"/>
      <c r="K12" s="440"/>
      <c r="L12" s="441"/>
      <c r="M12" s="441"/>
      <c r="N12" s="442"/>
      <c r="O12" s="441"/>
      <c r="P12" s="441"/>
      <c r="Q12" s="441"/>
      <c r="R12" s="441"/>
      <c r="S12" s="440"/>
      <c r="T12" s="441"/>
      <c r="U12" s="441"/>
      <c r="V12" s="442"/>
      <c r="W12" s="440"/>
      <c r="X12" s="441"/>
      <c r="Y12" s="441"/>
      <c r="Z12" s="442"/>
      <c r="AA12" s="440"/>
      <c r="AB12" s="441"/>
      <c r="AC12" s="441"/>
      <c r="AD12" s="442"/>
      <c r="AE12" s="441"/>
      <c r="AF12" s="441"/>
      <c r="AG12" s="441"/>
      <c r="AH12" s="441"/>
      <c r="AI12" s="440"/>
      <c r="AJ12" s="441"/>
      <c r="AK12" s="441"/>
      <c r="AL12" s="442"/>
      <c r="AM12" s="440"/>
      <c r="AN12" s="441"/>
      <c r="AO12" s="441"/>
      <c r="AP12" s="442"/>
      <c r="AQ12" s="440"/>
      <c r="AR12" s="441"/>
      <c r="AS12" s="441"/>
      <c r="AT12" s="442"/>
      <c r="AU12" s="440"/>
      <c r="AV12" s="441"/>
      <c r="AW12" s="441"/>
      <c r="AX12" s="443"/>
      <c r="AY12" s="444"/>
      <c r="AZ12" s="441"/>
      <c r="BA12" s="441"/>
      <c r="BB12" s="441"/>
      <c r="BC12" s="440"/>
      <c r="BD12" s="441"/>
      <c r="BE12" s="441"/>
      <c r="BF12" s="441"/>
    </row>
    <row r="13" spans="1:58" s="418" customFormat="1" ht="11.25">
      <c r="A13" s="445" t="s">
        <v>301</v>
      </c>
      <c r="B13" s="445" t="s">
        <v>134</v>
      </c>
      <c r="C13" s="446">
        <f>Bilans_BS!C20</f>
        <v>56616.89999999998</v>
      </c>
      <c r="D13" s="447">
        <f>Bilans_BS!D20</f>
        <v>53203.100000000013</v>
      </c>
      <c r="E13" s="447">
        <f>Bilans_BS!E20</f>
        <v>53246.599999999991</v>
      </c>
      <c r="F13" s="448">
        <f>Bilans_BS!F20</f>
        <v>52010.80000000001</v>
      </c>
      <c r="G13" s="447">
        <f>Bilans_BS!G20</f>
        <v>60234.400000000009</v>
      </c>
      <c r="H13" s="447">
        <f>Bilans_BS!H20</f>
        <v>60513.200000000004</v>
      </c>
      <c r="I13" s="447">
        <f>Bilans_BS!I20</f>
        <v>65262.600000000006</v>
      </c>
      <c r="J13" s="448">
        <f>Bilans_BS!J20</f>
        <v>69610.5</v>
      </c>
      <c r="K13" s="446">
        <f>Bilans_BS!K20</f>
        <v>68205.799999999988</v>
      </c>
      <c r="L13" s="447">
        <f>Bilans_BS!L20</f>
        <v>64516.5</v>
      </c>
      <c r="M13" s="447">
        <f>Bilans_BS!M20</f>
        <v>64256.4</v>
      </c>
      <c r="N13" s="448">
        <f>Bilans_BS!N20</f>
        <v>59883.400000000009</v>
      </c>
      <c r="O13" s="446">
        <f>Bilans_BS!O20</f>
        <v>62099.1</v>
      </c>
      <c r="P13" s="447">
        <f>Bilans_BS!P20</f>
        <v>61583.000000000007</v>
      </c>
      <c r="Q13" s="447">
        <f>Bilans_BS!Q20</f>
        <v>62165.500000000007</v>
      </c>
      <c r="R13" s="448">
        <f>Bilans_BS!R20</f>
        <v>64517.499999999985</v>
      </c>
      <c r="S13" s="446">
        <f>Bilans_BS!S20</f>
        <v>65839.799999999988</v>
      </c>
      <c r="T13" s="447">
        <f>Bilans_BS!T20</f>
        <v>67500.900000000009</v>
      </c>
      <c r="U13" s="447">
        <f>Bilans_BS!U20</f>
        <v>73696.099999999991</v>
      </c>
      <c r="V13" s="448">
        <f>Bilans_BS!V20</f>
        <v>69723.400000000009</v>
      </c>
      <c r="W13" s="446">
        <f>Bilans_BS!W20</f>
        <v>72263.099999999991</v>
      </c>
      <c r="X13" s="447">
        <f>Bilans_BS!X20</f>
        <v>70260.099999999991</v>
      </c>
      <c r="Y13" s="447">
        <f>Bilans_BS!Y20</f>
        <v>73637.799999999988</v>
      </c>
      <c r="Z13" s="448">
        <f>Bilans_BS!Z20</f>
        <v>78266.799999999988</v>
      </c>
      <c r="AA13" s="446">
        <f>Bilans_BS!AA20</f>
        <v>77753.800000000032</v>
      </c>
      <c r="AB13" s="447">
        <f>Bilans_BS!AB20</f>
        <v>81790.60000000002</v>
      </c>
      <c r="AC13" s="447">
        <f>Bilans_BS!AC20</f>
        <v>84639.5</v>
      </c>
      <c r="AD13" s="448">
        <f>Bilans_BS!AD20</f>
        <v>86750.6</v>
      </c>
      <c r="AE13" s="447">
        <f>Bilans_BS!AE20</f>
        <v>92244.699999999968</v>
      </c>
      <c r="AF13" s="447">
        <f>Bilans_BS!AF20</f>
        <v>98261.799999999988</v>
      </c>
      <c r="AG13" s="447">
        <f>Bilans_BS!AG20</f>
        <v>96848.5</v>
      </c>
      <c r="AH13" s="447">
        <f>Bilans_BS!AH20</f>
        <v>99860.700000000012</v>
      </c>
      <c r="AI13" s="446">
        <f>Bilans_BS!AI20</f>
        <v>102568.3</v>
      </c>
      <c r="AJ13" s="447">
        <f>Bilans_BS!AJ20</f>
        <v>105318.90000000001</v>
      </c>
      <c r="AK13" s="447">
        <f>Bilans_BS!AK20</f>
        <v>112180.7</v>
      </c>
      <c r="AL13" s="448">
        <f>Bilans_BS!AL20</f>
        <v>108893.09999999999</v>
      </c>
      <c r="AM13" s="446">
        <f>Bilans_BS!AM20</f>
        <v>112732.69999999998</v>
      </c>
      <c r="AN13" s="447">
        <f>Bilans_BS!AN20</f>
        <v>115639.7</v>
      </c>
      <c r="AO13" s="447">
        <f>Bilans_BS!AO20</f>
        <v>116550</v>
      </c>
      <c r="AP13" s="448">
        <f>Bilans_BS!AP20</f>
        <v>117477.70000000001</v>
      </c>
      <c r="AQ13" s="446">
        <f>Bilans_BS!AQ20</f>
        <v>118850.5</v>
      </c>
      <c r="AR13" s="447">
        <f>Bilans_BS!AR20</f>
        <v>120197.6</v>
      </c>
      <c r="AS13" s="447">
        <f>Bilans_BS!AS20</f>
        <v>122290</v>
      </c>
      <c r="AT13" s="448">
        <f>Bilans_BS!AT20</f>
        <v>125971.80000000002</v>
      </c>
      <c r="AU13" s="446">
        <f>Bilans_BS!AU20</f>
        <v>127549.1</v>
      </c>
      <c r="AV13" s="447">
        <f>Bilans_BS!AV20</f>
        <v>131042.50000000001</v>
      </c>
      <c r="AW13" s="447">
        <f>Bilans_BS!AW20</f>
        <v>134384.30000000002</v>
      </c>
      <c r="AX13" s="449">
        <f>Bilans_BS!AX20</f>
        <v>141812.90000000002</v>
      </c>
      <c r="AY13" s="450">
        <f>Bilans_BS!AY20</f>
        <v>145717.4</v>
      </c>
      <c r="AZ13" s="447">
        <f>Bilans_BS!AZ20</f>
        <v>150909.1</v>
      </c>
      <c r="BA13" s="447">
        <f>Bilans_BS!BA20</f>
        <v>156013.79999999999</v>
      </c>
      <c r="BB13" s="447">
        <f>Bilans_BS!BB20</f>
        <v>158610.69999999998</v>
      </c>
      <c r="BC13" s="446">
        <f>Bilans_BS!BC20</f>
        <v>171241.60000000001</v>
      </c>
      <c r="BD13" s="447">
        <f>Bilans_BS!BD20</f>
        <v>180639.30000000002</v>
      </c>
      <c r="BE13" s="447">
        <f>Bilans_BS!BE20</f>
        <v>184859.50000000003</v>
      </c>
      <c r="BF13" s="447">
        <f>Bilans_BS!BF20</f>
        <v>186595.70000000007</v>
      </c>
    </row>
    <row r="14" spans="1:58" s="428" customFormat="1" ht="12">
      <c r="A14" s="411" t="s">
        <v>952</v>
      </c>
      <c r="B14" s="411" t="s">
        <v>953</v>
      </c>
      <c r="C14" s="425">
        <f>Bilans_BS!C11-Kredyty_loans_old!C83-Kredyty_loans_old!C90</f>
        <v>13782.6</v>
      </c>
      <c r="D14" s="337">
        <f>Bilans_BS!D11-Kredyty_loans_old!D83-Kredyty_loans_old!D90</f>
        <v>14567.2</v>
      </c>
      <c r="E14" s="337">
        <f>Bilans_BS!E11-Kredyty_loans_old!E83-Kredyty_loans_old!E90</f>
        <v>15449.4</v>
      </c>
      <c r="F14" s="338">
        <f>Bilans_BS!F11-Kredyty_loans_old!F83-Kredyty_loans_old!F90</f>
        <v>16379.1</v>
      </c>
      <c r="G14" s="337">
        <f>Bilans_BS!G11-Kredyty_loans_old!G83-Kredyty_loans_old!G90</f>
        <v>18039.900000000001</v>
      </c>
      <c r="H14" s="337">
        <f>Bilans_BS!H11-Kredyty_loans_old!H83-Kredyty_loans_old!H90</f>
        <v>20372</v>
      </c>
      <c r="I14" s="337">
        <f>Bilans_BS!I11-Kredyty_loans_old!I83-Kredyty_loans_old!I90</f>
        <v>21986.799999999999</v>
      </c>
      <c r="J14" s="337">
        <f>Bilans_BS!J11-Kredyty_loans_old!J83-Kredyty_loans_old!J90</f>
        <v>24088.799999999999</v>
      </c>
      <c r="K14" s="425">
        <f>Bilans_BS!K11-Kredyty_loans_old!K83-Kredyty_loans_old!K90</f>
        <v>25265.1</v>
      </c>
      <c r="L14" s="337">
        <f>Bilans_BS!L11-Kredyty_loans_old!L83-Kredyty_loans_old!L90</f>
        <v>25829.5</v>
      </c>
      <c r="M14" s="337">
        <f>Bilans_BS!M11-Kredyty_loans_old!M83-Kredyty_loans_old!M90</f>
        <v>25701.1</v>
      </c>
      <c r="N14" s="338">
        <f>Bilans_BS!N11-Kredyty_loans_old!N83-Kredyty_loans_old!N90</f>
        <v>27330.899999999998</v>
      </c>
      <c r="O14" s="337">
        <f>Bilans_BS!O11-Kredyty_loans_old!O83-Kredyty_loans_old!O90</f>
        <v>27011.699999999997</v>
      </c>
      <c r="P14" s="337">
        <f>Bilans_BS!P11-Kredyty_loans_old!P83-Kredyty_loans_old!P90</f>
        <v>28333.5</v>
      </c>
      <c r="Q14" s="337">
        <f>Bilans_BS!Q11-Kredyty_loans_old!Q83-Kredyty_loans_old!Q90</f>
        <v>29895.5</v>
      </c>
      <c r="R14" s="337">
        <f>Bilans_BS!R11-Kredyty_loans_old!R83-Kredyty_loans_old!R90</f>
        <v>31240.5</v>
      </c>
      <c r="S14" s="425">
        <f>Bilans_BS!S11-Kredyty_loans_old!S83-Kredyty_loans_old!S90</f>
        <v>32116.800000000003</v>
      </c>
      <c r="T14" s="337">
        <f>Bilans_BS!T11-Kredyty_loans_old!T83-Kredyty_loans_old!T90</f>
        <v>33905.800000000003</v>
      </c>
      <c r="U14" s="337">
        <f>Bilans_BS!U11-Kredyty_loans_old!U83-Kredyty_loans_old!U90</f>
        <v>36003.5</v>
      </c>
      <c r="V14" s="338">
        <f>Bilans_BS!V11-Kredyty_loans_old!V83-Kredyty_loans_old!V90</f>
        <v>38457.1</v>
      </c>
      <c r="W14" s="337">
        <f>Bilans_BS!W11-Kredyty_loans_old!W83-Kredyty_loans_old!W90</f>
        <v>44115.199999999997</v>
      </c>
      <c r="X14" s="337">
        <f>Bilans_BS!X11-Kredyty_loans_old!X83-Kredyty_loans_old!X90</f>
        <v>44732.4</v>
      </c>
      <c r="Y14" s="337">
        <f>Bilans_BS!Y11-Kredyty_loans_old!Y83-Kredyty_loans_old!Y90</f>
        <v>45542.6</v>
      </c>
      <c r="Z14" s="337">
        <f>Bilans_BS!Z11-Kredyty_loans_old!Z83-Kredyty_loans_old!Z90</f>
        <v>45205.599999999999</v>
      </c>
      <c r="AA14" s="425">
        <f>Bilans_BS!AA11-Kredyty_loans_old!AA83-Kredyty_loans_old!AA90</f>
        <v>45301.600000000013</v>
      </c>
      <c r="AB14" s="337">
        <f>Bilans_BS!AB11-Kredyty_loans_old!AB83-Kredyty_loans_old!AB90</f>
        <v>47962.5</v>
      </c>
      <c r="AC14" s="337">
        <f>Bilans_BS!AC11-Kredyty_loans_old!AC83-Kredyty_loans_old!AC90</f>
        <v>48634.6</v>
      </c>
      <c r="AD14" s="338">
        <f>Bilans_BS!AD11-Kredyty_loans_old!AD83-Kredyty_loans_old!AD90</f>
        <v>49191.299999999996</v>
      </c>
      <c r="AE14" s="337">
        <f>Bilans_BS!AE11-Kredyty_loans_old!AE83-Kredyty_loans_old!AE90</f>
        <v>51507.700000000004</v>
      </c>
      <c r="AF14" s="337">
        <f>Bilans_BS!AF11-Kredyty_loans_old!AF83-Kredyty_loans_old!AF90</f>
        <v>54369.399999999987</v>
      </c>
      <c r="AG14" s="337">
        <f>Bilans_BS!AG11-Kredyty_loans_old!AG83-Kredyty_loans_old!AG90</f>
        <v>56905.599999999999</v>
      </c>
      <c r="AH14" s="447">
        <f>Bilans_BS!AH11-Kredyty_loans_old!AH83-Kredyty_loans_old!AH90</f>
        <v>57238</v>
      </c>
      <c r="AI14" s="425">
        <f>Bilans_BS!AI11-Kredyty_loans_old!AI83-Kredyty_loans_old!AI90</f>
        <v>60635.9</v>
      </c>
      <c r="AJ14" s="337">
        <f>Bilans_BS!AJ11-Kredyty_loans_old!AJ83-Kredyty_loans_old!AJ90</f>
        <v>64907.700000000004</v>
      </c>
      <c r="AK14" s="337">
        <f>Bilans_BS!AK11-Kredyty_loans_old!AK83-Kredyty_loans_old!AK90</f>
        <v>68185.7</v>
      </c>
      <c r="AL14" s="338">
        <f>Bilans_BS!AL11-Kredyty_loans_old!AL83-Kredyty_loans_old!AL90</f>
        <v>70035.899999999994</v>
      </c>
      <c r="AM14" s="425">
        <f>Bilans_BS!AM11-Kredyty_loans_old!AM83-Kredyty_loans_old!AM90</f>
        <v>71497.2</v>
      </c>
      <c r="AN14" s="337">
        <f>Bilans_BS!AN11-Kredyty_loans_old!AN83-Kredyty_loans_old!AN90</f>
        <v>74399.599999999991</v>
      </c>
      <c r="AO14" s="337">
        <f>Bilans_BS!AO11-Kredyty_loans_old!AO83-Kredyty_loans_old!AO90</f>
        <v>76575.199999999997</v>
      </c>
      <c r="AP14" s="448">
        <f>Bilans_BS!AP11-Kredyty_loans_old!AP83-Kredyty_loans_old!AP90</f>
        <v>78069.5</v>
      </c>
      <c r="AQ14" s="425">
        <f>Bilans_BS!AQ11-Kredyty_loans_old!AQ83-Kredyty_loans_old!AQ90</f>
        <v>80713.7</v>
      </c>
      <c r="AR14" s="337">
        <f>Bilans_BS!AR11-Kredyty_loans_old!AR83-Kredyty_loans_old!AR90</f>
        <v>83333.2</v>
      </c>
      <c r="AS14" s="337">
        <f>Bilans_BS!AS11-Kredyty_loans_old!AS83-Kredyty_loans_old!AS90</f>
        <v>86433.3</v>
      </c>
      <c r="AT14" s="338">
        <f>Bilans_BS!AT11-Kredyty_loans_old!AT83-Kredyty_loans_old!AT90</f>
        <v>83710.5</v>
      </c>
      <c r="AU14" s="425">
        <f>Bilans_BS!AU11</f>
        <v>90028.2</v>
      </c>
      <c r="AV14" s="337">
        <f>Bilans_BS!AV11</f>
        <v>94475.3</v>
      </c>
      <c r="AW14" s="337">
        <f>Bilans_BS!AW11</f>
        <v>98986</v>
      </c>
      <c r="AX14" s="426">
        <f>Bilans_BS!AX11</f>
        <v>102907.40000000001</v>
      </c>
      <c r="AY14" s="427">
        <f>Bilans_BS!AY11</f>
        <v>107181.3</v>
      </c>
      <c r="AZ14" s="337">
        <f>Bilans_BS!AZ11</f>
        <v>110316.4</v>
      </c>
      <c r="BA14" s="337">
        <f>Bilans_BS!BA11</f>
        <v>115551</v>
      </c>
      <c r="BB14" s="337">
        <f>Bilans_BS!BB11</f>
        <v>118127.8</v>
      </c>
      <c r="BC14" s="425">
        <f>Bilans_BS!BC11</f>
        <v>123459.7</v>
      </c>
      <c r="BD14" s="337">
        <f>Bilans_BS!BD11</f>
        <v>120598.09999999999</v>
      </c>
      <c r="BE14" s="337">
        <f>Bilans_BS!BE11</f>
        <v>122382</v>
      </c>
      <c r="BF14" s="337">
        <f>Bilans_BS!BF11</f>
        <v>124655.3</v>
      </c>
    </row>
    <row r="15" spans="1:58" s="428" customFormat="1" ht="11.25">
      <c r="A15" s="451" t="s">
        <v>304</v>
      </c>
      <c r="B15" s="451" t="s">
        <v>327</v>
      </c>
      <c r="C15" s="452">
        <f>Kredyty_loans_old!C6+Kredyty_loans_old!C9+Kredyty_loans_old!C16+Kredyty_loans_old!C19</f>
        <v>13547.400000000001</v>
      </c>
      <c r="D15" s="453">
        <f>Kredyty_loans_old!D6+Kredyty_loans_old!D9+Kredyty_loans_old!D16+Kredyty_loans_old!D19</f>
        <v>14323.800000000001</v>
      </c>
      <c r="E15" s="453">
        <f>Kredyty_loans_old!E6+Kredyty_loans_old!E9+Kredyty_loans_old!E16+Kredyty_loans_old!E19</f>
        <v>15231.499999999998</v>
      </c>
      <c r="F15" s="454">
        <f>Kredyty_loans_old!F6+Kredyty_loans_old!F9+Kredyty_loans_old!F16+Kredyty_loans_old!F19</f>
        <v>16105.499999999998</v>
      </c>
      <c r="G15" s="453">
        <f>Kredyty_loans_old!G6+Kredyty_loans_old!G9+Kredyty_loans_old!G16+Kredyty_loans_old!G19</f>
        <v>17758.900000000001</v>
      </c>
      <c r="H15" s="453">
        <f>Kredyty_loans_old!H6+Kredyty_loans_old!H9+Kredyty_loans_old!H16+Kredyty_loans_old!H19</f>
        <v>19283.500000000004</v>
      </c>
      <c r="I15" s="453">
        <f>Kredyty_loans_old!I6+Kredyty_loans_old!I9+Kredyty_loans_old!I16+Kredyty_loans_old!I19</f>
        <v>21522.100000000002</v>
      </c>
      <c r="J15" s="454">
        <f>Kredyty_loans_old!J6+Kredyty_loans_old!J9+Kredyty_loans_old!J16+Kredyty_loans_old!J19</f>
        <v>23639.8</v>
      </c>
      <c r="K15" s="452">
        <f>Kredyty_loans_old!K6+Kredyty_loans_old!K9+Kredyty_loans_old!K16+Kredyty_loans_old!K19</f>
        <v>24679.600000000002</v>
      </c>
      <c r="L15" s="453">
        <f>Kredyty_loans_old!L6+Kredyty_loans_old!L9+Kredyty_loans_old!L16+Kredyty_loans_old!L19</f>
        <v>24767.5</v>
      </c>
      <c r="M15" s="453">
        <f>Kredyty_loans_old!M6+Kredyty_loans_old!M9+Kredyty_loans_old!M16+Kredyty_loans_old!M19</f>
        <v>25157</v>
      </c>
      <c r="N15" s="454">
        <f>Kredyty_loans_old!N6+Kredyty_loans_old!N9+Kredyty_loans_old!N16+Kredyty_loans_old!N19</f>
        <v>26315.599999999999</v>
      </c>
      <c r="O15" s="452">
        <f>Kredyty_loans_old!O6+Kredyty_loans_old!O9+Kredyty_loans_old!O16+Kredyty_loans_old!O19</f>
        <v>26507.800000000003</v>
      </c>
      <c r="P15" s="453">
        <f>Kredyty_loans_old!P6+Kredyty_loans_old!P9+Kredyty_loans_old!P16+Kredyty_loans_old!P19</f>
        <v>27855.300000000003</v>
      </c>
      <c r="Q15" s="453">
        <f>Kredyty_loans_old!Q6+Kredyty_loans_old!Q9+Kredyty_loans_old!Q16+Kredyty_loans_old!Q19</f>
        <v>29465.7</v>
      </c>
      <c r="R15" s="454">
        <f>Kredyty_loans_old!R6+Kredyty_loans_old!R9+Kredyty_loans_old!R16+Kredyty_loans_old!R19</f>
        <v>30975.4</v>
      </c>
      <c r="S15" s="452">
        <f>Kredyty_loans_old!S6+Kredyty_loans_old!S9+Kredyty_loans_old!S16+Kredyty_loans_old!S19</f>
        <v>31759.899999999998</v>
      </c>
      <c r="T15" s="453">
        <f>Kredyty_loans_old!T6+Kredyty_loans_old!T9+Kredyty_loans_old!T16+Kredyty_loans_old!T19</f>
        <v>33421.4</v>
      </c>
      <c r="U15" s="453">
        <f>Kredyty_loans_old!U6+Kredyty_loans_old!U9+Kredyty_loans_old!U16+Kredyty_loans_old!U19</f>
        <v>35459.999999999993</v>
      </c>
      <c r="V15" s="454">
        <f>Kredyty_loans_old!V6+Kredyty_loans_old!V9+Kredyty_loans_old!V16+Kredyty_loans_old!V19</f>
        <v>38084.9</v>
      </c>
      <c r="W15" s="452">
        <f>Kredyty_loans_old!W6+Kredyty_loans_old!W9+Kredyty_loans_old!W16+Kredyty_loans_old!W19</f>
        <v>39016.200000000004</v>
      </c>
      <c r="X15" s="453">
        <f>Kredyty_loans_old!X6+Kredyty_loans_old!X9+Kredyty_loans_old!X16+Kredyty_loans_old!X19</f>
        <v>39442.399999999987</v>
      </c>
      <c r="Y15" s="453">
        <f>Kredyty_loans_old!Y6+Kredyty_loans_old!Y9+Kredyty_loans_old!Y16+Kredyty_loans_old!Y19</f>
        <v>40300.400000000001</v>
      </c>
      <c r="Z15" s="454">
        <f>Kredyty_loans_old!Z6+Kredyty_loans_old!Z9+Kredyty_loans_old!Z16+Kredyty_loans_old!Z19</f>
        <v>39718.799999999988</v>
      </c>
      <c r="AA15" s="452">
        <f>Kredyty_loans_old!AA6+Kredyty_loans_old!AA9+Kredyty_loans_old!AA16+Kredyty_loans_old!AA19</f>
        <v>40054.699999999997</v>
      </c>
      <c r="AB15" s="453">
        <f>Kredyty_loans_old!AB6+Kredyty_loans_old!AB9+Kredyty_loans_old!AB16+Kredyty_loans_old!AB19</f>
        <v>41021.9</v>
      </c>
      <c r="AC15" s="453">
        <f>Kredyty_loans_old!AC6+Kredyty_loans_old!AC9+Kredyty_loans_old!AC16+Kredyty_loans_old!AC19</f>
        <v>42356.7</v>
      </c>
      <c r="AD15" s="454">
        <f>Kredyty_loans_old!AD6+Kredyty_loans_old!AD9+Kredyty_loans_old!AD16+Kredyty_loans_old!AD19</f>
        <v>42383.7</v>
      </c>
      <c r="AE15" s="453">
        <f>Kredyty_loans_old!AE6+Kredyty_loans_old!AE9+Kredyty_loans_old!AE16+Kredyty_loans_old!AE19</f>
        <v>44572.400000000009</v>
      </c>
      <c r="AF15" s="453">
        <f>Kredyty_loans_old!AF6+Kredyty_loans_old!AF9+Kredyty_loans_old!AF16+Kredyty_loans_old!AF19</f>
        <v>46704.200000000004</v>
      </c>
      <c r="AG15" s="453">
        <f>Kredyty_loans_old!AG6+Kredyty_loans_old!AG9+Kredyty_loans_old!AG16+Kredyty_loans_old!AG19</f>
        <v>48976.900000000009</v>
      </c>
      <c r="AH15" s="453">
        <f>Kredyty_loans_old!AH6+Kredyty_loans_old!AH9+Kredyty_loans_old!AH16+Kredyty_loans_old!AH19</f>
        <v>49878.6</v>
      </c>
      <c r="AI15" s="452">
        <f>Kredyty_loans_old!AI6+Kredyty_loans_old!AI9+Kredyty_loans_old!AI16+Kredyty_loans_old!AI19</f>
        <v>52663.299999999996</v>
      </c>
      <c r="AJ15" s="453">
        <f>Kredyty_loans_old!AJ6+Kredyty_loans_old!AJ9+Kredyty_loans_old!AJ16+Kredyty_loans_old!AJ19</f>
        <v>56848</v>
      </c>
      <c r="AK15" s="453">
        <f>Kredyty_loans_old!AK6+Kredyty_loans_old!AK9+Kredyty_loans_old!AK16+Kredyty_loans_old!AK19</f>
        <v>59612.6</v>
      </c>
      <c r="AL15" s="454">
        <f>Kredyty_loans_old!AL6+Kredyty_loans_old!AL9+Kredyty_loans_old!AL16+Kredyty_loans_old!AL19</f>
        <v>60228.600000000006</v>
      </c>
      <c r="AM15" s="452">
        <f>Kredyty_loans_old!AM6+Kredyty_loans_old!AM9+Kredyty_loans_old!AM16+Kredyty_loans_old!AM19</f>
        <v>62931</v>
      </c>
      <c r="AN15" s="453">
        <f>Kredyty_loans_old!AN6+Kredyty_loans_old!AN9+Kredyty_loans_old!AN16+Kredyty_loans_old!AN19</f>
        <v>64859.600000000006</v>
      </c>
      <c r="AO15" s="453">
        <f>Kredyty_loans_old!AO6+Kredyty_loans_old!AO9+Kredyty_loans_old!AO16+Kredyty_loans_old!AO19</f>
        <v>66660.600000000006</v>
      </c>
      <c r="AP15" s="454">
        <f>Kredyty_loans!AP66-Kredyty_loans!AP70-Kredyty_loans!AP71-Kredyty_loans!AP76</f>
        <v>67572.60000000002</v>
      </c>
      <c r="AQ15" s="452">
        <f>Kredyty_loans!AQ66-Kredyty_loans!AQ70-Kredyty_loans!AQ71-Kredyty_loans!AQ76</f>
        <v>69982.900000000009</v>
      </c>
      <c r="AR15" s="453">
        <f>Kredyty_loans!AR66-Kredyty_loans!AR70-Kredyty_loans!AR71-Kredyty_loans!AR76</f>
        <v>72021.200000000012</v>
      </c>
      <c r="AS15" s="453">
        <f>Kredyty_loans!AS66-Kredyty_loans!AS70-Kredyty_loans!AS71-Kredyty_loans!AS76</f>
        <v>74721.799999999988</v>
      </c>
      <c r="AT15" s="454">
        <f>Kredyty_loans!AT66-Kredyty_loans!AT70-Kredyty_loans!AT71-Kredyty_loans!AT76</f>
        <v>75407.199999999997</v>
      </c>
      <c r="AU15" s="452">
        <f>Kredyty_loans!AU66-Kredyty_loans!AU70-Kredyty_loans!AU71-Kredyty_loans!AU76</f>
        <v>77893.399999999994</v>
      </c>
      <c r="AV15" s="453">
        <f>Kredyty_loans!AV66-Kredyty_loans!AV70-Kredyty_loans!AV71-Kredyty_loans!AV76</f>
        <v>81668.39999999998</v>
      </c>
      <c r="AW15" s="453">
        <f>Kredyty_loans!AW66-Kredyty_loans!AW70-Kredyty_loans!AW71-Kredyty_loans!AW76</f>
        <v>85819.599999999991</v>
      </c>
      <c r="AX15" s="455">
        <f>Kredyty_loans!AX66-Kredyty_loans!AX70-Kredyty_loans!AX71-Kredyty_loans!AX76</f>
        <v>89028.7</v>
      </c>
      <c r="AY15" s="456">
        <f>Kredyty_loans!AY66-Kredyty_loans!AY70-Kredyty_loans!AY71-Kredyty_loans!AY76</f>
        <v>92324.299999999988</v>
      </c>
      <c r="AZ15" s="453">
        <f>Kredyty_loans!AZ66-Kredyty_loans!AZ70-Kredyty_loans!AZ71-Kredyty_loans!AZ76</f>
        <v>94640.5</v>
      </c>
      <c r="BA15" s="453">
        <f>Kredyty_loans!BA66-Kredyty_loans!BA70-Kredyty_loans!BA71-Kredyty_loans!BA76</f>
        <v>98957.6</v>
      </c>
      <c r="BB15" s="453">
        <f>Kredyty_loans!BB66-Kredyty_loans!BB70-Kredyty_loans!BB71-Kredyty_loans!BB76</f>
        <v>101203</v>
      </c>
      <c r="BC15" s="452">
        <f>Kredyty_loans!BC66-Kredyty_loans!BC70-Kredyty_loans!BC71-Kredyty_loans!BC76</f>
        <v>106249.99999999997</v>
      </c>
      <c r="BD15" s="453">
        <f>Kredyty_loans!BD66-Kredyty_loans!BD70-Kredyty_loans!BD71-Kredyty_loans!BD76</f>
        <v>104508.80000000002</v>
      </c>
      <c r="BE15" s="453">
        <f>Kredyty_loans!BE66-Kredyty_loans!BE70-Kredyty_loans!BE71-Kredyty_loans!BE76</f>
        <v>106442.90000000001</v>
      </c>
      <c r="BF15" s="453">
        <f>Kredyty_loans!BF66-Kredyty_loans!BF70-Kredyty_loans!BF71-Kredyty_loans!BF76</f>
        <v>108230.00000000001</v>
      </c>
    </row>
    <row r="16" spans="1:58" s="428" customFormat="1" ht="11.25">
      <c r="A16" s="451" t="s">
        <v>305</v>
      </c>
      <c r="B16" s="451" t="s">
        <v>328</v>
      </c>
      <c r="C16" s="452">
        <v>0</v>
      </c>
      <c r="D16" s="453">
        <v>0</v>
      </c>
      <c r="E16" s="453">
        <v>0</v>
      </c>
      <c r="F16" s="454">
        <v>0</v>
      </c>
      <c r="G16" s="453">
        <v>0</v>
      </c>
      <c r="H16" s="453">
        <v>0</v>
      </c>
      <c r="I16" s="453">
        <v>0</v>
      </c>
      <c r="J16" s="454">
        <v>0</v>
      </c>
      <c r="K16" s="452">
        <v>0</v>
      </c>
      <c r="L16" s="453">
        <v>0</v>
      </c>
      <c r="M16" s="453">
        <v>0</v>
      </c>
      <c r="N16" s="454">
        <v>0</v>
      </c>
      <c r="O16" s="452">
        <v>0</v>
      </c>
      <c r="P16" s="453">
        <v>0</v>
      </c>
      <c r="Q16" s="453">
        <v>0</v>
      </c>
      <c r="R16" s="454">
        <v>0</v>
      </c>
      <c r="S16" s="452">
        <v>0</v>
      </c>
      <c r="T16" s="453">
        <v>0</v>
      </c>
      <c r="U16" s="453">
        <v>0</v>
      </c>
      <c r="V16" s="454">
        <v>0</v>
      </c>
      <c r="W16" s="452">
        <v>3045.6000000000004</v>
      </c>
      <c r="X16" s="453">
        <v>3084.3999999999996</v>
      </c>
      <c r="Y16" s="453">
        <f>Kredyty_loans_old!Y7+Kredyty_loans_old!Y17</f>
        <v>3067.2</v>
      </c>
      <c r="Z16" s="454">
        <f>Kredyty_loans_old!Z7+Kredyty_loans_old!Z17</f>
        <v>3164.5</v>
      </c>
      <c r="AA16" s="452">
        <f>Kredyty_loans_old!AA7+Kredyty_loans_old!AA17</f>
        <v>3188.4</v>
      </c>
      <c r="AB16" s="453">
        <f>Kredyty_loans_old!AB7+Kredyty_loans_old!AB17</f>
        <v>3322.4</v>
      </c>
      <c r="AC16" s="453">
        <f>Kredyty_loans_old!AC7+Kredyty_loans_old!AC17</f>
        <v>3472.2</v>
      </c>
      <c r="AD16" s="454">
        <f>Kredyty_loans_old!AD7+Kredyty_loans_old!AD17</f>
        <v>3590.8</v>
      </c>
      <c r="AE16" s="453">
        <f>Kredyty_loans_old!AE7+Kredyty_loans_old!AE17</f>
        <v>3774.3</v>
      </c>
      <c r="AF16" s="453">
        <f>Kredyty_loans_old!AF7+Kredyty_loans_old!AF17</f>
        <v>4162.0999999999995</v>
      </c>
      <c r="AG16" s="453">
        <f>Kredyty_loans_old!AG7+Kredyty_loans_old!AG17</f>
        <v>4244.1000000000004</v>
      </c>
      <c r="AH16" s="453">
        <f>Kredyty_loans_old!AH7+Kredyty_loans_old!AH17</f>
        <v>4335.6000000000004</v>
      </c>
      <c r="AI16" s="452">
        <f>Kredyty_loans_old!AI7+Kredyty_loans_old!AI17</f>
        <v>4301.2000000000007</v>
      </c>
      <c r="AJ16" s="453">
        <f>Kredyty_loans_old!AJ7+Kredyty_loans_old!AJ17</f>
        <v>4611.6000000000004</v>
      </c>
      <c r="AK16" s="453">
        <f>Kredyty_loans_old!AK7+Kredyty_loans_old!AK17</f>
        <v>4789.6000000000004</v>
      </c>
      <c r="AL16" s="454">
        <f>Kredyty_loans_old!AL7+Kredyty_loans_old!AL17</f>
        <v>4882.7</v>
      </c>
      <c r="AM16" s="452">
        <f>Kredyty_loans_old!AM7+Kredyty_loans_old!AM17</f>
        <v>5023.2999999999993</v>
      </c>
      <c r="AN16" s="453">
        <f>Kredyty_loans_old!AN7+Kredyty_loans_old!AN17</f>
        <v>5444.0999999999995</v>
      </c>
      <c r="AO16" s="453">
        <f>Kredyty_loans_old!AO7+Kredyty_loans_old!AO17</f>
        <v>5509.3</v>
      </c>
      <c r="AP16" s="454">
        <f>Kredyty_loans!AP70+Kredyty_loans!AP76</f>
        <v>5710.6</v>
      </c>
      <c r="AQ16" s="452">
        <f>Kredyty_loans!AQ70+Kredyty_loans!AQ76</f>
        <v>5774.0999999999995</v>
      </c>
      <c r="AR16" s="453">
        <f>Kredyty_loans!AR70+Kredyty_loans!AR76</f>
        <v>6098.6</v>
      </c>
      <c r="AS16" s="453">
        <f>Kredyty_loans!AS70+Kredyty_loans!AS76</f>
        <v>6327.4000000000005</v>
      </c>
      <c r="AT16" s="454">
        <f>Kredyty_loans!AT70+Kredyty_loans!AT76</f>
        <v>6560.0999999999995</v>
      </c>
      <c r="AU16" s="452">
        <f>Kredyty_loans!AU70+Kredyty_loans!AU76</f>
        <v>6825</v>
      </c>
      <c r="AV16" s="453">
        <f>Kredyty_loans!AV70+Kredyty_loans!AV76</f>
        <v>7246.2999999999993</v>
      </c>
      <c r="AW16" s="453">
        <f>Kredyty_loans!AW70+Kredyty_loans!AW76</f>
        <v>7608.2999999999993</v>
      </c>
      <c r="AX16" s="455">
        <f>Kredyty_loans!AX70+Kredyty_loans!AX76</f>
        <v>8093.6000000000013</v>
      </c>
      <c r="AY16" s="456">
        <f>Kredyty_loans!AY70+Kredyty_loans!AY76</f>
        <v>8618.1</v>
      </c>
      <c r="AZ16" s="453">
        <f>Kredyty_loans!AZ70+Kredyty_loans!AZ76</f>
        <v>9077.9</v>
      </c>
      <c r="BA16" s="453">
        <f>Kredyty_loans!BA70+Kredyty_loans!BA76</f>
        <v>9423.1</v>
      </c>
      <c r="BB16" s="453">
        <f>Kredyty_loans!BB70+Kredyty_loans!BB76</f>
        <v>9334.6999999999989</v>
      </c>
      <c r="BC16" s="452">
        <f>Kredyty_loans!BC70+Kredyty_loans!BC76</f>
        <v>9526.5</v>
      </c>
      <c r="BD16" s="453">
        <f>Kredyty_loans!BD70+Kredyty_loans!BD76</f>
        <v>9364</v>
      </c>
      <c r="BE16" s="453">
        <f>Kredyty_loans!BE70+Kredyty_loans!BE76</f>
        <v>9504.6999999999989</v>
      </c>
      <c r="BF16" s="453">
        <f>Kredyty_loans!BF70+Kredyty_loans!BF76</f>
        <v>9697.6</v>
      </c>
    </row>
    <row r="17" spans="1:58" s="428" customFormat="1" ht="11.25">
      <c r="A17" s="451" t="s">
        <v>306</v>
      </c>
      <c r="B17" s="451" t="s">
        <v>329</v>
      </c>
      <c r="C17" s="452">
        <f>Kredyty_loans_old!C8+Kredyty_loans_old!C18</f>
        <v>148.70000000000002</v>
      </c>
      <c r="D17" s="453">
        <f>Kredyty_loans_old!D8+Kredyty_loans_old!D18</f>
        <v>148.10000000000002</v>
      </c>
      <c r="E17" s="453">
        <f>Kredyty_loans_old!E8+Kredyty_loans_old!E18</f>
        <v>125.5</v>
      </c>
      <c r="F17" s="454">
        <f>Kredyty_loans_old!F8+Kredyty_loans_old!F18</f>
        <v>128.6</v>
      </c>
      <c r="G17" s="453">
        <f>Kredyty_loans_old!G8+Kredyty_loans_old!G18</f>
        <v>130.5</v>
      </c>
      <c r="H17" s="453">
        <f>Kredyty_loans_old!H8+Kredyty_loans_old!H18</f>
        <v>136</v>
      </c>
      <c r="I17" s="453">
        <f>Kredyty_loans_old!I8+Kredyty_loans_old!I18</f>
        <v>178.20000000000002</v>
      </c>
      <c r="J17" s="454">
        <f>Kredyty_loans_old!J8+Kredyty_loans_old!J18</f>
        <v>164.6</v>
      </c>
      <c r="K17" s="452">
        <f>Kredyty_loans_old!K8+Kredyty_loans_old!K18</f>
        <v>270.09999999999997</v>
      </c>
      <c r="L17" s="453">
        <f>Kredyty_loans_old!L8+Kredyty_loans_old!L18</f>
        <v>252.7</v>
      </c>
      <c r="M17" s="453">
        <f>Kredyty_loans_old!M8+Kredyty_loans_old!M18</f>
        <v>175.6</v>
      </c>
      <c r="N17" s="454">
        <f>Kredyty_loans_old!N8+Kredyty_loans_old!N18</f>
        <v>173.1</v>
      </c>
      <c r="O17" s="452">
        <f>Kredyty_loans_old!O8+Kredyty_loans_old!O18</f>
        <v>142.40000000000003</v>
      </c>
      <c r="P17" s="453">
        <f>Kredyty_loans_old!P8+Kredyty_loans_old!P18</f>
        <v>171.1</v>
      </c>
      <c r="Q17" s="453">
        <f>Kredyty_loans_old!Q8+Kredyty_loans_old!Q18</f>
        <v>165</v>
      </c>
      <c r="R17" s="454">
        <f>Kredyty_loans_old!R8+Kredyty_loans_old!R18</f>
        <v>122.7</v>
      </c>
      <c r="S17" s="452">
        <f>Kredyty_loans_old!S8+Kredyty_loans_old!S18</f>
        <v>108.4</v>
      </c>
      <c r="T17" s="453">
        <f>Kredyty_loans_old!T8+Kredyty_loans_old!T18</f>
        <v>196.29999999999998</v>
      </c>
      <c r="U17" s="453">
        <f>Kredyty_loans_old!U8+Kredyty_loans_old!U18</f>
        <v>279.90000000000003</v>
      </c>
      <c r="V17" s="454">
        <f>Kredyty_loans_old!V8+Kredyty_loans_old!V18</f>
        <v>272.40000000000003</v>
      </c>
      <c r="W17" s="452">
        <f>Kredyty_loans_old!W8+Kredyty_loans_old!W18</f>
        <v>1852.5000000000002</v>
      </c>
      <c r="X17" s="453">
        <f>Kredyty_loans_old!X8+Kredyty_loans_old!X18</f>
        <v>2094.2000000000003</v>
      </c>
      <c r="Y17" s="453">
        <f>Kredyty_loans_old!Y8+Kredyty_loans_old!Y18</f>
        <v>2022.6000000000001</v>
      </c>
      <c r="Z17" s="454">
        <f>Kredyty_loans_old!Z8+Kredyty_loans_old!Z18</f>
        <v>2202.6999999999998</v>
      </c>
      <c r="AA17" s="452">
        <f>Kredyty_loans_old!AA8+Kredyty_loans_old!AA18</f>
        <v>1958.3</v>
      </c>
      <c r="AB17" s="453">
        <f>Kredyty_loans_old!AB8+Kredyty_loans_old!AB18</f>
        <v>2223.0000000000005</v>
      </c>
      <c r="AC17" s="453">
        <f>Kredyty_loans_old!AC8+Kredyty_loans_old!AC18</f>
        <v>2442.7999999999993</v>
      </c>
      <c r="AD17" s="454">
        <f>Kredyty_loans_old!AD8+Kredyty_loans_old!AD18</f>
        <v>2453.7999999999997</v>
      </c>
      <c r="AE17" s="453">
        <f>Kredyty_loans_old!AE8+Kredyty_loans_old!AE18</f>
        <v>2361.1999999999998</v>
      </c>
      <c r="AF17" s="453">
        <f>Kredyty_loans_old!AF8+Kredyty_loans_old!AF18</f>
        <v>2621.0000000000005</v>
      </c>
      <c r="AG17" s="453">
        <f>Kredyty_loans_old!AG8+Kredyty_loans_old!AG18</f>
        <v>2868.7</v>
      </c>
      <c r="AH17" s="453">
        <f>Kredyty_loans_old!AH8+Kredyty_loans_old!AH18</f>
        <v>2816.5</v>
      </c>
      <c r="AI17" s="452">
        <f>Kredyty_loans_old!AI8+Kredyty_loans_old!AI18</f>
        <v>2567.6000000000004</v>
      </c>
      <c r="AJ17" s="453">
        <f>Kredyty_loans_old!AJ8+Kredyty_loans_old!AJ18</f>
        <v>2822.4000000000005</v>
      </c>
      <c r="AK17" s="453">
        <f>Kredyty_loans_old!AK8+Kredyty_loans_old!AK18</f>
        <v>3139.4</v>
      </c>
      <c r="AL17" s="454">
        <f>Kredyty_loans_old!AL8+Kredyty_loans_old!AL18</f>
        <v>3389.7</v>
      </c>
      <c r="AM17" s="452">
        <f>Kredyty_loans_old!AM8+Kredyty_loans_old!AM18</f>
        <v>3396.8</v>
      </c>
      <c r="AN17" s="453">
        <f>Kredyty_loans_old!AN8+Kredyty_loans_old!AN18</f>
        <v>4027.5</v>
      </c>
      <c r="AO17" s="453">
        <f>Kredyty_loans_old!AO8+Kredyty_loans_old!AO18</f>
        <v>4264.7</v>
      </c>
      <c r="AP17" s="454">
        <f>Kredyty_loans!AP71</f>
        <v>4350.4000000000005</v>
      </c>
      <c r="AQ17" s="452">
        <f>Kredyty_loans!AQ71</f>
        <v>4513.3999999999996</v>
      </c>
      <c r="AR17" s="453">
        <f>Kredyty_loans!AR71</f>
        <v>4622.2</v>
      </c>
      <c r="AS17" s="453">
        <f>Kredyty_loans!AS71</f>
        <v>4715.1000000000004</v>
      </c>
      <c r="AT17" s="454">
        <f>Kredyty_loans!AT71</f>
        <v>4589</v>
      </c>
      <c r="AU17" s="452">
        <f>Kredyty_loans!AU71</f>
        <v>4562.6000000000004</v>
      </c>
      <c r="AV17" s="453">
        <f>Kredyty_loans!AV71</f>
        <v>4751.6000000000004</v>
      </c>
      <c r="AW17" s="453">
        <f>Kredyty_loans!AW71</f>
        <v>4766.9999999999991</v>
      </c>
      <c r="AX17" s="455">
        <f>Kredyty_loans!AX71</f>
        <v>4834.5</v>
      </c>
      <c r="AY17" s="456">
        <f>Kredyty_loans!AY71</f>
        <v>5011.8999999999996</v>
      </c>
      <c r="AZ17" s="453">
        <f>Kredyty_loans!AZ71</f>
        <v>5138.7999999999993</v>
      </c>
      <c r="BA17" s="453">
        <f>Kredyty_loans!BA71</f>
        <v>5289.9</v>
      </c>
      <c r="BB17" s="453">
        <f>Kredyty_loans!BB71</f>
        <v>5293.2999999999993</v>
      </c>
      <c r="BC17" s="452">
        <f>Kredyty_loans!BC71</f>
        <v>5326.5</v>
      </c>
      <c r="BD17" s="453">
        <f>Kredyty_loans!BD71</f>
        <v>4542.4000000000005</v>
      </c>
      <c r="BE17" s="453">
        <f>Kredyty_loans!BE71</f>
        <v>4611.9000000000005</v>
      </c>
      <c r="BF17" s="453">
        <f>Kredyty_loans!BF71</f>
        <v>4794.5</v>
      </c>
    </row>
    <row r="18" spans="1:58" s="424" customFormat="1" ht="11.25">
      <c r="A18" s="411" t="s">
        <v>272</v>
      </c>
      <c r="B18" s="411" t="s">
        <v>120</v>
      </c>
      <c r="C18" s="425">
        <f>Bilans_BS!C28</f>
        <v>40774.6</v>
      </c>
      <c r="D18" s="337">
        <f>Bilans_BS!D28</f>
        <v>40253.4</v>
      </c>
      <c r="E18" s="337">
        <f>Bilans_BS!E28</f>
        <v>40658.1</v>
      </c>
      <c r="F18" s="338">
        <f>Bilans_BS!F28</f>
        <v>44501.8</v>
      </c>
      <c r="G18" s="337">
        <f>Bilans_BS!G28</f>
        <v>45359.100000000006</v>
      </c>
      <c r="H18" s="337">
        <f>Bilans_BS!H28</f>
        <v>47651.4</v>
      </c>
      <c r="I18" s="337">
        <f>Bilans_BS!I28</f>
        <v>51303.5</v>
      </c>
      <c r="J18" s="338">
        <f>Bilans_BS!J28</f>
        <v>47111.9</v>
      </c>
      <c r="K18" s="425">
        <f>Bilans_BS!K28</f>
        <v>46583.4</v>
      </c>
      <c r="L18" s="337">
        <f>Bilans_BS!L28</f>
        <v>45927.9</v>
      </c>
      <c r="M18" s="337">
        <f>Bilans_BS!M28</f>
        <v>46520</v>
      </c>
      <c r="N18" s="338">
        <f>Bilans_BS!N28</f>
        <v>47630.7</v>
      </c>
      <c r="O18" s="425">
        <f>Bilans_BS!O28</f>
        <v>46197.299999999996</v>
      </c>
      <c r="P18" s="337">
        <f>Bilans_BS!P28</f>
        <v>46022.6</v>
      </c>
      <c r="Q18" s="337">
        <f>Bilans_BS!Q28</f>
        <v>47701.599999999999</v>
      </c>
      <c r="R18" s="338">
        <f>Bilans_BS!R28</f>
        <v>47448.200000000004</v>
      </c>
      <c r="S18" s="425">
        <f>Bilans_BS!S28</f>
        <v>46487.900000000009</v>
      </c>
      <c r="T18" s="337">
        <f>Bilans_BS!T28</f>
        <v>48310.7</v>
      </c>
      <c r="U18" s="337">
        <f>Bilans_BS!U28</f>
        <v>50782.5</v>
      </c>
      <c r="V18" s="338">
        <f>Bilans_BS!V28</f>
        <v>52976.69999999999</v>
      </c>
      <c r="W18" s="425">
        <f>Bilans_BS!W28</f>
        <v>52465.499999999993</v>
      </c>
      <c r="X18" s="337">
        <f>Bilans_BS!X28</f>
        <v>54186.000000000007</v>
      </c>
      <c r="Y18" s="337">
        <f>Bilans_BS!Y28</f>
        <v>54896.2</v>
      </c>
      <c r="Z18" s="338">
        <f>Bilans_BS!Z28</f>
        <v>57898.399999999994</v>
      </c>
      <c r="AA18" s="425">
        <f>Bilans_BS!AA28</f>
        <v>58126.799999999996</v>
      </c>
      <c r="AB18" s="337">
        <f>Bilans_BS!AB28</f>
        <v>64159.100000000006</v>
      </c>
      <c r="AC18" s="337">
        <f>Bilans_BS!AC28</f>
        <v>66911.399999999994</v>
      </c>
      <c r="AD18" s="338">
        <f>Bilans_BS!AD28</f>
        <v>67981.399999999994</v>
      </c>
      <c r="AE18" s="337">
        <f>Bilans_BS!AE28</f>
        <v>67036.3</v>
      </c>
      <c r="AF18" s="337">
        <f>Bilans_BS!AF28</f>
        <v>70975.3</v>
      </c>
      <c r="AG18" s="337">
        <f>Bilans_BS!AG28</f>
        <v>71979.60000000002</v>
      </c>
      <c r="AH18" s="337">
        <f>Bilans_BS!AH28</f>
        <v>75688.599999999991</v>
      </c>
      <c r="AI18" s="425">
        <f>Bilans_BS!AI28</f>
        <v>77661.500000000015</v>
      </c>
      <c r="AJ18" s="337">
        <f>Bilans_BS!AJ28</f>
        <v>80755.099999999991</v>
      </c>
      <c r="AK18" s="337">
        <f>Bilans_BS!AK28</f>
        <v>83830</v>
      </c>
      <c r="AL18" s="338">
        <f>Bilans_BS!AL28</f>
        <v>87866</v>
      </c>
      <c r="AM18" s="425">
        <f>Bilans_BS!AM28</f>
        <v>90413.4</v>
      </c>
      <c r="AN18" s="337">
        <f>Bilans_BS!AN28</f>
        <v>93492.400000000009</v>
      </c>
      <c r="AO18" s="337">
        <f>Bilans_BS!AO28</f>
        <v>92304.6</v>
      </c>
      <c r="AP18" s="338">
        <f>Bilans_BS!AP28</f>
        <v>95825.4</v>
      </c>
      <c r="AQ18" s="425">
        <f>Bilans_BS!AQ28</f>
        <v>96620.7</v>
      </c>
      <c r="AR18" s="337">
        <f>Bilans_BS!AR28</f>
        <v>97708.800000000003</v>
      </c>
      <c r="AS18" s="337">
        <f>Bilans_BS!AS28</f>
        <v>98459.8</v>
      </c>
      <c r="AT18" s="338">
        <f>Bilans_BS!AT28</f>
        <v>104503.3</v>
      </c>
      <c r="AU18" s="425">
        <f>Bilans_BS!AU28</f>
        <v>104662.1</v>
      </c>
      <c r="AV18" s="337">
        <f>Bilans_BS!AV28</f>
        <v>109174.1</v>
      </c>
      <c r="AW18" s="337">
        <f>Bilans_BS!AW28</f>
        <v>110205</v>
      </c>
      <c r="AX18" s="426">
        <f>Bilans_BS!AX28</f>
        <v>117682.5</v>
      </c>
      <c r="AY18" s="427">
        <f>Bilans_BS!AY28</f>
        <v>120414</v>
      </c>
      <c r="AZ18" s="337">
        <f>Bilans_BS!AZ28</f>
        <v>122992</v>
      </c>
      <c r="BA18" s="337">
        <f>Bilans_BS!BA28</f>
        <v>125786.3</v>
      </c>
      <c r="BB18" s="337">
        <f>Bilans_BS!BB28</f>
        <v>130473.5</v>
      </c>
      <c r="BC18" s="425">
        <f>Bilans_BS!BC28</f>
        <v>139648.70000000001</v>
      </c>
      <c r="BD18" s="337">
        <f>Bilans_BS!BD28</f>
        <v>150979.29999999999</v>
      </c>
      <c r="BE18" s="337">
        <f>Bilans_BS!BE28</f>
        <v>154399.79999999999</v>
      </c>
      <c r="BF18" s="337">
        <f>Bilans_BS!BF28</f>
        <v>151028.5</v>
      </c>
    </row>
    <row r="19" spans="1:58" s="424" customFormat="1" ht="12">
      <c r="A19" s="411" t="s">
        <v>954</v>
      </c>
      <c r="B19" s="411" t="s">
        <v>955</v>
      </c>
      <c r="C19" s="425">
        <f>Bilans_BS!C41</f>
        <v>3902.2999999999997</v>
      </c>
      <c r="D19" s="337">
        <f>Bilans_BS!D41</f>
        <v>3622</v>
      </c>
      <c r="E19" s="337">
        <f>Bilans_BS!E41</f>
        <v>3820.3999999999996</v>
      </c>
      <c r="F19" s="338">
        <f>Bilans_BS!F41</f>
        <v>3838.7999999999997</v>
      </c>
      <c r="G19" s="337">
        <f>Bilans_BS!G41</f>
        <v>4013.7</v>
      </c>
      <c r="H19" s="337">
        <f>Bilans_BS!H41</f>
        <v>3977.5999999999995</v>
      </c>
      <c r="I19" s="337">
        <f>Bilans_BS!I41</f>
        <v>4277.8999999999996</v>
      </c>
      <c r="J19" s="338">
        <f>Bilans_BS!J41</f>
        <v>4222.2</v>
      </c>
      <c r="K19" s="425">
        <f>Bilans_BS!K41</f>
        <v>4280.8999999999996</v>
      </c>
      <c r="L19" s="337">
        <f>Bilans_BS!L41</f>
        <v>4514.6000000000004</v>
      </c>
      <c r="M19" s="337">
        <f>Bilans_BS!M41</f>
        <v>4742.0999999999995</v>
      </c>
      <c r="N19" s="338">
        <f>Bilans_BS!N41</f>
        <v>4884.3999999999996</v>
      </c>
      <c r="O19" s="425">
        <f>Bilans_BS!O41</f>
        <v>5131.7</v>
      </c>
      <c r="P19" s="337">
        <f>Bilans_BS!P41</f>
        <v>5280.2000000000007</v>
      </c>
      <c r="Q19" s="337">
        <f>Bilans_BS!Q41</f>
        <v>5529.4999999999991</v>
      </c>
      <c r="R19" s="338">
        <f>Bilans_BS!R41</f>
        <v>5650.8</v>
      </c>
      <c r="S19" s="425">
        <f>Bilans_BS!S41</f>
        <v>5782</v>
      </c>
      <c r="T19" s="337">
        <f>Bilans_BS!T41</f>
        <v>5951.5</v>
      </c>
      <c r="U19" s="337">
        <f>Bilans_BS!U41</f>
        <v>6194.6</v>
      </c>
      <c r="V19" s="338">
        <f>Bilans_BS!V41</f>
        <v>6413.7</v>
      </c>
      <c r="W19" s="425">
        <f>Bilans_BS!W41</f>
        <v>6751.1</v>
      </c>
      <c r="X19" s="337">
        <f>Bilans_BS!X41</f>
        <v>6978.8</v>
      </c>
      <c r="Y19" s="337">
        <f>Bilans_BS!Y41</f>
        <v>7424.9</v>
      </c>
      <c r="Z19" s="338">
        <f>Bilans_BS!Z41</f>
        <v>8133.7999999999993</v>
      </c>
      <c r="AA19" s="425">
        <f>Bilans_BS!AA41</f>
        <v>8236.5</v>
      </c>
      <c r="AB19" s="337">
        <f>Bilans_BS!AB41</f>
        <v>8131.2</v>
      </c>
      <c r="AC19" s="337">
        <f>Bilans_BS!AC41</f>
        <v>8269.2000000000007</v>
      </c>
      <c r="AD19" s="338">
        <f>Bilans_BS!AD41</f>
        <v>8626.2999999999993</v>
      </c>
      <c r="AE19" s="337">
        <f>Bilans_BS!AE41</f>
        <v>8885.5999999999985</v>
      </c>
      <c r="AF19" s="337">
        <f>Bilans_BS!AF41</f>
        <v>9158.6999999999989</v>
      </c>
      <c r="AG19" s="337">
        <f>Bilans_BS!AG41</f>
        <v>9931.5999999999985</v>
      </c>
      <c r="AH19" s="337">
        <f>Bilans_BS!AH41</f>
        <v>10454</v>
      </c>
      <c r="AI19" s="425">
        <f>Bilans_BS!AI41</f>
        <v>10229.5</v>
      </c>
      <c r="AJ19" s="337">
        <f>Bilans_BS!AJ41</f>
        <v>9556.1</v>
      </c>
      <c r="AK19" s="337">
        <f>Bilans_BS!AK41</f>
        <v>10301.799999999999</v>
      </c>
      <c r="AL19" s="338">
        <f>Bilans_BS!AL41</f>
        <v>10677.899999999998</v>
      </c>
      <c r="AM19" s="425">
        <f>Bilans_BS!AM41</f>
        <v>10667.7</v>
      </c>
      <c r="AN19" s="337">
        <f>Bilans_BS!AN41</f>
        <v>10810.099999999999</v>
      </c>
      <c r="AO19" s="337">
        <f>Bilans_BS!AO41</f>
        <v>10976.7</v>
      </c>
      <c r="AP19" s="338">
        <f>Bilans_BS!AP41</f>
        <v>10474.9</v>
      </c>
      <c r="AQ19" s="425">
        <f>Bilans_BS!AQ41</f>
        <v>10787.3</v>
      </c>
      <c r="AR19" s="337">
        <f>Bilans_BS!AR41</f>
        <v>11154.1</v>
      </c>
      <c r="AS19" s="337">
        <f>Bilans_BS!AS41</f>
        <v>11486.199999999997</v>
      </c>
      <c r="AT19" s="338">
        <f>Bilans_BS!AT41</f>
        <v>11534.3</v>
      </c>
      <c r="AU19" s="425">
        <f>Bilans_BS!AU41</f>
        <v>12058.9</v>
      </c>
      <c r="AV19" s="337">
        <f>Bilans_BS!AV41</f>
        <v>11875.899999999998</v>
      </c>
      <c r="AW19" s="337">
        <f>Bilans_BS!AW41</f>
        <v>12147.800000000001</v>
      </c>
      <c r="AX19" s="426">
        <f>Bilans_BS!AX41</f>
        <v>13321.600000000004</v>
      </c>
      <c r="AY19" s="427">
        <f>Bilans_BS!AY41</f>
        <v>13413.3</v>
      </c>
      <c r="AZ19" s="337">
        <f>Bilans_BS!AZ41</f>
        <v>14219.8</v>
      </c>
      <c r="BA19" s="337">
        <f>Bilans_BS!BA41</f>
        <v>15262.7</v>
      </c>
      <c r="BB19" s="337">
        <f>Bilans_BS!BB41</f>
        <v>15223.3</v>
      </c>
      <c r="BC19" s="425">
        <f>Bilans_BS!BC41</f>
        <v>17341</v>
      </c>
      <c r="BD19" s="337">
        <f>Bilans_BS!BD41</f>
        <v>18235.5</v>
      </c>
      <c r="BE19" s="337">
        <f>Bilans_BS!BE41</f>
        <v>18595.800000000003</v>
      </c>
      <c r="BF19" s="337">
        <f>Bilans_BS!BF41</f>
        <v>18618.300000000003</v>
      </c>
    </row>
    <row r="20" spans="1:58" s="424" customFormat="1" ht="11.25">
      <c r="A20" s="411"/>
      <c r="B20" s="411"/>
      <c r="C20" s="457"/>
      <c r="D20" s="458"/>
      <c r="E20" s="458"/>
      <c r="F20" s="459"/>
      <c r="G20" s="458"/>
      <c r="H20" s="458"/>
      <c r="I20" s="458"/>
      <c r="J20" s="459"/>
      <c r="K20" s="457"/>
      <c r="L20" s="458"/>
      <c r="M20" s="458"/>
      <c r="N20" s="459"/>
      <c r="O20" s="457"/>
      <c r="P20" s="458"/>
      <c r="Q20" s="458"/>
      <c r="R20" s="459"/>
      <c r="S20" s="457"/>
      <c r="T20" s="458"/>
      <c r="U20" s="458"/>
      <c r="V20" s="459"/>
      <c r="W20" s="457"/>
      <c r="X20" s="458"/>
      <c r="Y20" s="458"/>
      <c r="Z20" s="459"/>
      <c r="AA20" s="457"/>
      <c r="AB20" s="458"/>
      <c r="AC20" s="458"/>
      <c r="AD20" s="459"/>
      <c r="AE20" s="458"/>
      <c r="AF20" s="458"/>
      <c r="AG20" s="458"/>
      <c r="AH20" s="458"/>
      <c r="AI20" s="457"/>
      <c r="AJ20" s="458"/>
      <c r="AK20" s="458"/>
      <c r="AL20" s="459"/>
      <c r="AM20" s="457"/>
      <c r="AN20" s="458"/>
      <c r="AO20" s="458"/>
      <c r="AP20" s="459"/>
      <c r="AQ20" s="457"/>
      <c r="AR20" s="458"/>
      <c r="AS20" s="458"/>
      <c r="AT20" s="459"/>
      <c r="AU20" s="460"/>
      <c r="AX20" s="461"/>
      <c r="AY20" s="462"/>
      <c r="BC20" s="460"/>
    </row>
    <row r="21" spans="1:58" s="424" customFormat="1" ht="11.25">
      <c r="A21" s="411" t="s">
        <v>492</v>
      </c>
      <c r="B21" s="411" t="s">
        <v>493</v>
      </c>
      <c r="C21" s="463">
        <v>0.13739999999999999</v>
      </c>
      <c r="D21" s="328">
        <v>0.1341</v>
      </c>
      <c r="E21" s="328">
        <v>0.1305</v>
      </c>
      <c r="F21" s="464">
        <v>0.13120000000000001</v>
      </c>
      <c r="G21" s="328">
        <v>0.11020000000000001</v>
      </c>
      <c r="H21" s="328">
        <v>0.11219999999999999</v>
      </c>
      <c r="I21" s="328">
        <v>0.11899999999999999</v>
      </c>
      <c r="J21" s="464">
        <v>0.10390000000000001</v>
      </c>
      <c r="K21" s="463">
        <v>0.10100000000000001</v>
      </c>
      <c r="L21" s="328">
        <v>0.1087</v>
      </c>
      <c r="M21" s="328">
        <v>0.1207</v>
      </c>
      <c r="N21" s="464">
        <v>0.1201</v>
      </c>
      <c r="O21" s="463">
        <v>0.13</v>
      </c>
      <c r="P21" s="328">
        <v>0.12559999999999999</v>
      </c>
      <c r="Q21" s="328">
        <v>0.13300000000000001</v>
      </c>
      <c r="R21" s="464">
        <v>0.13150000000000001</v>
      </c>
      <c r="S21" s="463">
        <v>0.12740000000000001</v>
      </c>
      <c r="T21" s="328">
        <v>0.12609999999999999</v>
      </c>
      <c r="U21" s="328">
        <v>0.12559999999999999</v>
      </c>
      <c r="V21" s="464">
        <v>0.1192</v>
      </c>
      <c r="W21" s="463">
        <v>0.1211</v>
      </c>
      <c r="X21" s="458">
        <v>0.1298</v>
      </c>
      <c r="Y21" s="458">
        <f>'Łączny współ kap_TCR_GROUP'!Y53</f>
        <v>0.13669999999999999</v>
      </c>
      <c r="Z21" s="459">
        <f>'Łączny współ kap_TCR_GROUP'!Z53</f>
        <v>0.14549999999999999</v>
      </c>
      <c r="AA21" s="463">
        <f>'Łączny współ kap_TCR_GROUP'!AA53</f>
        <v>0.1515</v>
      </c>
      <c r="AB21" s="328">
        <f>'Łączny współ kap_TCR_GROUP'!AB53</f>
        <v>0.1583</v>
      </c>
      <c r="AC21" s="328">
        <f>'Łączny współ kap_TCR_GROUP'!AC53</f>
        <v>0.1739</v>
      </c>
      <c r="AD21" s="464">
        <f>'Łączny współ kap_TCR_GROUP'!AD53</f>
        <v>0.17280000000000001</v>
      </c>
      <c r="AE21" s="458">
        <f>'Łączny współ kap_TCR_GROUP'!AE53</f>
        <v>0.1457</v>
      </c>
      <c r="AF21" s="458">
        <f>'Łączny współ kap_TCR_GROUP'!AF53</f>
        <v>0.15040000000000001</v>
      </c>
      <c r="AG21" s="458">
        <f>'Łączny współ kap_TCR_GROUP'!AG53</f>
        <v>0.14180000000000001</v>
      </c>
      <c r="AH21" s="458">
        <f>'Łączny współ kap_TCR_GROUP'!AH53</f>
        <v>0.14169999999999999</v>
      </c>
      <c r="AI21" s="463">
        <f>'Łączny współ kap_TCR_GROUP'!AI53</f>
        <v>0.14810000000000001</v>
      </c>
      <c r="AJ21" s="328">
        <f>'Łączny współ kap_TCR_GROUP'!AJ53</f>
        <v>0.13700000000000001</v>
      </c>
      <c r="AK21" s="328">
        <f>'Łączny współ kap_TCR_GROUP'!AK53</f>
        <v>0.1366</v>
      </c>
      <c r="AL21" s="464">
        <f>'Łączny współ kap_TCR_GROUP'!AL53</f>
        <v>0.13739999999999999</v>
      </c>
      <c r="AM21" s="463">
        <f>'Łączny współ kap_TCR_GROUP'!AM53</f>
        <v>0.1411</v>
      </c>
      <c r="AN21" s="458">
        <f>'Łączny współ kap_TCR_GROUP'!AN53</f>
        <v>0.14580000000000001</v>
      </c>
      <c r="AO21" s="458">
        <f>'Łączny współ kap_TCR_GROUP'!AO53</f>
        <v>0.14799999999999999</v>
      </c>
      <c r="AP21" s="459">
        <f>'Łączny współ kap_TCR_GROUP'!AP53</f>
        <v>0.14729999999999999</v>
      </c>
      <c r="AQ21" s="463">
        <f>'Łączny współ kap_TCR_GROUP'!AQ53</f>
        <v>0.1429</v>
      </c>
      <c r="AR21" s="328">
        <f>'Łączny współ kap_TCR_GROUP'!AR53</f>
        <v>0.15279999999999999</v>
      </c>
      <c r="AS21" s="328">
        <f>'Łączny współ kap_TCR_GROUP'!AS53</f>
        <v>0.15049999999999999</v>
      </c>
      <c r="AT21" s="464">
        <f>'Łączny współ kap_TCR_GROUP'!AT53</f>
        <v>0.1671</v>
      </c>
      <c r="AU21" s="457">
        <f>'Łączny współ kap_TCR_GROUP'!AU53</f>
        <v>0.1605</v>
      </c>
      <c r="AV21" s="458">
        <f>'Łączny współ kap_TCR_GROUP'!AV53</f>
        <v>0.15240000000000001</v>
      </c>
      <c r="AW21" s="458">
        <f>'Łączny współ kap_TCR_GROUP'!AW53</f>
        <v>0.15240000000000001</v>
      </c>
      <c r="AX21" s="465">
        <f>'Łączny współ kap_TCR_GROUP'!AX53</f>
        <v>0.15579999999999999</v>
      </c>
      <c r="AY21" s="466">
        <f>'Łączny współ kap_TCR_GROUP'!AY53</f>
        <v>0.15820000000000001</v>
      </c>
      <c r="AZ21" s="458">
        <f>'Łączny współ kap_TCR_GROUP'!AZ53</f>
        <v>0.15029999999999999</v>
      </c>
      <c r="BA21" s="458">
        <f>'Łączny współ kap_TCR_GROUP'!BA53</f>
        <v>0.15459999999999999</v>
      </c>
      <c r="BB21" s="458">
        <f>'Łączny współ kap_TCR_GROUP'!BB53</f>
        <v>0.16869999999999999</v>
      </c>
      <c r="BC21" s="457">
        <f>'Łączny współ kap_TCR_GROUP'!BC53</f>
        <v>0.15759999999999999</v>
      </c>
      <c r="BD21" s="458">
        <f>'Łączny współ kap_TCR_GROUP'!BD53</f>
        <v>0.18310000000000001</v>
      </c>
      <c r="BE21" s="458">
        <f>'Łączny współ kap_TCR_GROUP'!BE53</f>
        <v>0.18640000000000001</v>
      </c>
      <c r="BF21" s="458">
        <f>'Łączny współ kap_TCR_GROUP'!BF53</f>
        <v>0.18720000000000001</v>
      </c>
    </row>
    <row r="22" spans="1:58" s="473" customFormat="1" ht="12.75" hidden="1" customHeight="1">
      <c r="A22" s="451"/>
      <c r="B22" s="451"/>
      <c r="C22" s="467"/>
      <c r="D22" s="468"/>
      <c r="E22" s="468"/>
      <c r="F22" s="469"/>
      <c r="G22" s="468"/>
      <c r="H22" s="468"/>
      <c r="I22" s="468"/>
      <c r="J22" s="469"/>
      <c r="K22" s="467"/>
      <c r="L22" s="468"/>
      <c r="M22" s="468"/>
      <c r="N22" s="469"/>
      <c r="O22" s="467"/>
      <c r="P22" s="468"/>
      <c r="Q22" s="468"/>
      <c r="R22" s="469"/>
      <c r="S22" s="467"/>
      <c r="T22" s="468"/>
      <c r="U22" s="468"/>
      <c r="V22" s="469"/>
      <c r="W22" s="467"/>
      <c r="X22" s="470"/>
      <c r="Y22" s="470"/>
      <c r="Z22" s="471"/>
      <c r="AA22" s="467"/>
      <c r="AB22" s="468"/>
      <c r="AC22" s="468"/>
      <c r="AD22" s="469"/>
      <c r="AE22" s="468"/>
      <c r="AF22" s="468"/>
      <c r="AG22" s="468"/>
      <c r="AH22" s="468"/>
      <c r="AI22" s="467"/>
      <c r="AJ22" s="468"/>
      <c r="AK22" s="468"/>
      <c r="AL22" s="469"/>
      <c r="AM22" s="467"/>
      <c r="AN22" s="468"/>
      <c r="AO22" s="468"/>
      <c r="AP22" s="469"/>
      <c r="AQ22" s="467"/>
      <c r="AR22" s="468"/>
      <c r="AS22" s="468"/>
      <c r="AT22" s="469"/>
      <c r="AU22" s="472"/>
      <c r="AX22" s="474"/>
      <c r="AY22" s="475"/>
      <c r="BC22" s="472"/>
    </row>
    <row r="23" spans="1:58" s="473" customFormat="1" ht="12.75" hidden="1" customHeight="1">
      <c r="A23" s="451"/>
      <c r="B23" s="451"/>
      <c r="C23" s="467"/>
      <c r="D23" s="468"/>
      <c r="E23" s="468"/>
      <c r="F23" s="469"/>
      <c r="G23" s="468"/>
      <c r="H23" s="468"/>
      <c r="I23" s="468"/>
      <c r="J23" s="469"/>
      <c r="K23" s="467"/>
      <c r="L23" s="468"/>
      <c r="M23" s="468"/>
      <c r="N23" s="469"/>
      <c r="O23" s="467"/>
      <c r="P23" s="468"/>
      <c r="Q23" s="468"/>
      <c r="R23" s="469"/>
      <c r="S23" s="467"/>
      <c r="T23" s="468"/>
      <c r="U23" s="468"/>
      <c r="V23" s="469"/>
      <c r="W23" s="467"/>
      <c r="X23" s="470"/>
      <c r="Y23" s="470"/>
      <c r="Z23" s="471"/>
      <c r="AA23" s="467"/>
      <c r="AB23" s="468"/>
      <c r="AC23" s="468"/>
      <c r="AD23" s="469"/>
      <c r="AE23" s="468"/>
      <c r="AF23" s="468"/>
      <c r="AG23" s="468"/>
      <c r="AH23" s="468"/>
      <c r="AI23" s="467"/>
      <c r="AJ23" s="468"/>
      <c r="AK23" s="468"/>
      <c r="AL23" s="469"/>
      <c r="AM23" s="467"/>
      <c r="AN23" s="468"/>
      <c r="AO23" s="468"/>
      <c r="AP23" s="469"/>
      <c r="AQ23" s="467"/>
      <c r="AR23" s="468"/>
      <c r="AS23" s="468"/>
      <c r="AT23" s="469"/>
      <c r="AU23" s="472"/>
      <c r="AX23" s="474"/>
      <c r="AY23" s="475"/>
      <c r="BC23" s="472"/>
    </row>
    <row r="24" spans="1:58" s="424" customFormat="1" ht="12.75" hidden="1" customHeight="1">
      <c r="A24" s="411"/>
      <c r="B24" s="411"/>
      <c r="C24" s="457"/>
      <c r="D24" s="458"/>
      <c r="E24" s="458"/>
      <c r="F24" s="459"/>
      <c r="G24" s="458"/>
      <c r="H24" s="458"/>
      <c r="I24" s="458"/>
      <c r="J24" s="459"/>
      <c r="K24" s="457"/>
      <c r="L24" s="458"/>
      <c r="M24" s="458"/>
      <c r="N24" s="459"/>
      <c r="O24" s="457"/>
      <c r="P24" s="458"/>
      <c r="Q24" s="458"/>
      <c r="R24" s="459"/>
      <c r="S24" s="457"/>
      <c r="T24" s="458"/>
      <c r="U24" s="458"/>
      <c r="V24" s="459"/>
      <c r="W24" s="457"/>
      <c r="X24" s="458"/>
      <c r="Y24" s="458"/>
      <c r="Z24" s="459"/>
      <c r="AA24" s="457"/>
      <c r="AB24" s="458"/>
      <c r="AC24" s="458"/>
      <c r="AD24" s="459"/>
      <c r="AE24" s="458"/>
      <c r="AF24" s="458"/>
      <c r="AG24" s="458"/>
      <c r="AH24" s="458"/>
      <c r="AI24" s="457"/>
      <c r="AJ24" s="458"/>
      <c r="AK24" s="458"/>
      <c r="AL24" s="459"/>
      <c r="AM24" s="457"/>
      <c r="AN24" s="458"/>
      <c r="AO24" s="458"/>
      <c r="AP24" s="459"/>
      <c r="AQ24" s="457"/>
      <c r="AR24" s="458"/>
      <c r="AS24" s="458"/>
      <c r="AT24" s="459"/>
      <c r="AU24" s="460"/>
      <c r="AX24" s="461"/>
      <c r="AY24" s="462"/>
      <c r="BC24" s="460"/>
    </row>
    <row r="25" spans="1:58" s="424" customFormat="1" ht="11.25">
      <c r="A25" s="411" t="s">
        <v>494</v>
      </c>
      <c r="B25" s="411" t="s">
        <v>495</v>
      </c>
      <c r="C25" s="457">
        <v>0.1318</v>
      </c>
      <c r="D25" s="458">
        <v>0.1255</v>
      </c>
      <c r="E25" s="458">
        <v>0.1217</v>
      </c>
      <c r="F25" s="459">
        <v>0.1203</v>
      </c>
      <c r="G25" s="458">
        <v>0.10249999999999999</v>
      </c>
      <c r="H25" s="458">
        <v>0.1033</v>
      </c>
      <c r="I25" s="458">
        <v>0.11310000000000001</v>
      </c>
      <c r="J25" s="459">
        <v>9.8299999999999998E-2</v>
      </c>
      <c r="K25" s="457">
        <v>9.3899999999999997E-2</v>
      </c>
      <c r="L25" s="458">
        <v>9.9299999999999999E-2</v>
      </c>
      <c r="M25" s="458">
        <v>0.11210000000000001</v>
      </c>
      <c r="N25" s="459">
        <v>0.1124</v>
      </c>
      <c r="O25" s="457">
        <v>0.12180000000000001</v>
      </c>
      <c r="P25" s="458">
        <v>0.1159</v>
      </c>
      <c r="Q25" s="458">
        <v>0.1236</v>
      </c>
      <c r="R25" s="459">
        <v>0.122</v>
      </c>
      <c r="S25" s="457">
        <v>0.1173</v>
      </c>
      <c r="T25" s="458">
        <v>0.11609999999999999</v>
      </c>
      <c r="U25" s="458">
        <v>0.1178</v>
      </c>
      <c r="V25" s="459">
        <v>0.1158</v>
      </c>
      <c r="W25" s="457">
        <v>0.1157</v>
      </c>
      <c r="X25" s="458">
        <v>0.124</v>
      </c>
      <c r="Y25" s="458">
        <v>0.13089999999999999</v>
      </c>
      <c r="Z25" s="459">
        <v>0.14000000000000001</v>
      </c>
      <c r="AA25" s="457">
        <v>0.14410000000000001</v>
      </c>
      <c r="AB25" s="458">
        <v>0.1525</v>
      </c>
      <c r="AC25" s="458">
        <v>0.17330000000000001</v>
      </c>
      <c r="AD25" s="459">
        <v>0.17100000000000001</v>
      </c>
      <c r="AE25" s="458">
        <v>0.153</v>
      </c>
      <c r="AF25" s="458">
        <v>0.157</v>
      </c>
      <c r="AG25" s="458">
        <v>0.15310000000000001</v>
      </c>
      <c r="AH25" s="458">
        <v>0.1552</v>
      </c>
      <c r="AI25" s="457">
        <v>0.15759999999999999</v>
      </c>
      <c r="AJ25" s="458">
        <v>0.1462</v>
      </c>
      <c r="AK25" s="458">
        <v>0.1467</v>
      </c>
      <c r="AL25" s="459">
        <v>0.1507</v>
      </c>
      <c r="AM25" s="457">
        <v>0.154</v>
      </c>
      <c r="AN25" s="458">
        <v>0.1628</v>
      </c>
      <c r="AO25" s="458">
        <v>0.16589999999999999</v>
      </c>
      <c r="AP25" s="459">
        <v>0.16600000000000001</v>
      </c>
      <c r="AQ25" s="457">
        <v>0.1613</v>
      </c>
      <c r="AR25" s="458">
        <v>0.17199999999999999</v>
      </c>
      <c r="AS25" s="458">
        <v>0.16470000000000001</v>
      </c>
      <c r="AT25" s="459">
        <v>0.18390000000000001</v>
      </c>
      <c r="AU25" s="457">
        <v>0.17649999999999999</v>
      </c>
      <c r="AV25" s="458">
        <v>0.16639999999999999</v>
      </c>
      <c r="AW25" s="458">
        <v>0.1673</v>
      </c>
      <c r="AX25" s="465">
        <v>0.17169999999999999</v>
      </c>
      <c r="AY25" s="466">
        <v>0.17169999999999999</v>
      </c>
      <c r="AZ25" s="458">
        <v>0.16239999999999999</v>
      </c>
      <c r="BA25" s="458">
        <v>0.1704</v>
      </c>
      <c r="BB25" s="458">
        <v>0.183</v>
      </c>
      <c r="BC25" s="457">
        <v>0.17069999999999999</v>
      </c>
      <c r="BD25" s="458">
        <v>0.19539999999999999</v>
      </c>
      <c r="BE25" s="458">
        <v>0.19739999999999999</v>
      </c>
      <c r="BF25" s="458">
        <v>0.2</v>
      </c>
    </row>
    <row r="26" spans="1:58" s="473" customFormat="1" ht="12.75" hidden="1" customHeight="1">
      <c r="A26" s="451"/>
      <c r="B26" s="451"/>
      <c r="C26" s="467"/>
      <c r="D26" s="468"/>
      <c r="E26" s="468"/>
      <c r="F26" s="469"/>
      <c r="G26" s="468"/>
      <c r="H26" s="468"/>
      <c r="I26" s="468"/>
      <c r="J26" s="469"/>
      <c r="K26" s="467"/>
      <c r="L26" s="468"/>
      <c r="M26" s="468"/>
      <c r="N26" s="469"/>
      <c r="O26" s="467"/>
      <c r="P26" s="468"/>
      <c r="Q26" s="468"/>
      <c r="R26" s="469"/>
      <c r="S26" s="467"/>
      <c r="T26" s="468"/>
      <c r="U26" s="468"/>
      <c r="V26" s="469"/>
      <c r="W26" s="467"/>
      <c r="X26" s="470"/>
      <c r="Y26" s="470"/>
      <c r="Z26" s="471"/>
      <c r="AA26" s="467"/>
      <c r="AB26" s="468"/>
      <c r="AC26" s="468"/>
      <c r="AD26" s="469"/>
      <c r="AE26" s="468"/>
      <c r="AF26" s="468"/>
      <c r="AG26" s="468"/>
      <c r="AH26" s="468"/>
      <c r="AI26" s="467"/>
      <c r="AJ26" s="468"/>
      <c r="AK26" s="468"/>
      <c r="AL26" s="469"/>
      <c r="AM26" s="467"/>
      <c r="AN26" s="468"/>
      <c r="AO26" s="468"/>
      <c r="AP26" s="469"/>
      <c r="AQ26" s="467"/>
      <c r="AR26" s="468"/>
      <c r="AS26" s="468"/>
      <c r="AT26" s="459"/>
      <c r="AU26" s="472"/>
      <c r="AX26" s="474"/>
      <c r="AY26" s="475"/>
      <c r="BC26" s="472"/>
    </row>
    <row r="27" spans="1:58" s="473" customFormat="1" ht="12.75" hidden="1" customHeight="1">
      <c r="A27" s="451"/>
      <c r="B27" s="451"/>
      <c r="C27" s="467"/>
      <c r="D27" s="468"/>
      <c r="E27" s="468"/>
      <c r="F27" s="469"/>
      <c r="G27" s="468"/>
      <c r="H27" s="468"/>
      <c r="I27" s="468"/>
      <c r="J27" s="469"/>
      <c r="K27" s="467"/>
      <c r="L27" s="468"/>
      <c r="M27" s="468"/>
      <c r="N27" s="469"/>
      <c r="O27" s="467"/>
      <c r="P27" s="468"/>
      <c r="Q27" s="468"/>
      <c r="R27" s="469"/>
      <c r="S27" s="467"/>
      <c r="T27" s="468"/>
      <c r="U27" s="468"/>
      <c r="V27" s="469"/>
      <c r="W27" s="467"/>
      <c r="X27" s="470"/>
      <c r="Y27" s="470"/>
      <c r="Z27" s="471"/>
      <c r="AA27" s="467"/>
      <c r="AB27" s="468"/>
      <c r="AC27" s="468"/>
      <c r="AD27" s="469"/>
      <c r="AE27" s="468"/>
      <c r="AF27" s="468"/>
      <c r="AG27" s="468"/>
      <c r="AH27" s="468"/>
      <c r="AI27" s="467"/>
      <c r="AJ27" s="468"/>
      <c r="AK27" s="468"/>
      <c r="AL27" s="469"/>
      <c r="AM27" s="467"/>
      <c r="AN27" s="468"/>
      <c r="AO27" s="468"/>
      <c r="AP27" s="469"/>
      <c r="AQ27" s="467"/>
      <c r="AR27" s="468"/>
      <c r="AS27" s="468"/>
      <c r="AT27" s="459"/>
      <c r="AU27" s="472"/>
      <c r="AX27" s="474"/>
      <c r="AY27" s="475"/>
      <c r="BC27" s="472"/>
    </row>
    <row r="28" spans="1:58" s="473" customFormat="1" ht="12.75" customHeight="1">
      <c r="A28" s="411" t="s">
        <v>832</v>
      </c>
      <c r="B28" s="411" t="s">
        <v>829</v>
      </c>
      <c r="C28" s="467"/>
      <c r="D28" s="468"/>
      <c r="E28" s="468"/>
      <c r="F28" s="469"/>
      <c r="G28" s="468"/>
      <c r="H28" s="468"/>
      <c r="I28" s="468"/>
      <c r="J28" s="469"/>
      <c r="K28" s="467"/>
      <c r="L28" s="468"/>
      <c r="M28" s="468"/>
      <c r="N28" s="469"/>
      <c r="O28" s="467"/>
      <c r="P28" s="468"/>
      <c r="Q28" s="468"/>
      <c r="R28" s="469"/>
      <c r="S28" s="467"/>
      <c r="T28" s="468"/>
      <c r="U28" s="468"/>
      <c r="V28" s="469"/>
      <c r="W28" s="467"/>
      <c r="X28" s="470"/>
      <c r="Y28" s="470"/>
      <c r="Z28" s="471"/>
      <c r="AA28" s="467"/>
      <c r="AB28" s="468"/>
      <c r="AC28" s="468"/>
      <c r="AD28" s="469"/>
      <c r="AE28" s="468"/>
      <c r="AF28" s="468"/>
      <c r="AG28" s="468"/>
      <c r="AH28" s="468"/>
      <c r="AI28" s="467"/>
      <c r="AJ28" s="468"/>
      <c r="AK28" s="468"/>
      <c r="AL28" s="469"/>
      <c r="AM28" s="467"/>
      <c r="AN28" s="468"/>
      <c r="AO28" s="468"/>
      <c r="AP28" s="469"/>
      <c r="AQ28" s="458">
        <v>6.9599999999999995E-2</v>
      </c>
      <c r="AR28" s="458">
        <v>7.6799999999999993E-2</v>
      </c>
      <c r="AS28" s="458">
        <v>7.4899999999999994E-2</v>
      </c>
      <c r="AT28" s="459">
        <v>7.7299999999999994E-2</v>
      </c>
      <c r="AU28" s="458">
        <v>7.6100000000000001E-2</v>
      </c>
      <c r="AV28" s="458">
        <v>7.4999999999999997E-2</v>
      </c>
      <c r="AW28" s="458">
        <v>7.6799999999999993E-2</v>
      </c>
      <c r="AX28" s="465">
        <v>7.4200000000000002E-2</v>
      </c>
      <c r="AY28" s="466">
        <v>7.3899999999999993E-2</v>
      </c>
      <c r="AZ28" s="458">
        <v>7.2300000000000003E-2</v>
      </c>
      <c r="BA28" s="458">
        <v>7.22E-2</v>
      </c>
      <c r="BB28" s="459">
        <v>7.2300000000000003E-2</v>
      </c>
      <c r="BC28" s="458">
        <v>6.4299999999999996E-2</v>
      </c>
      <c r="BD28" s="458">
        <v>6.9599999999999995E-2</v>
      </c>
      <c r="BE28" s="458">
        <v>6.8500000000000005E-2</v>
      </c>
      <c r="BF28" s="458">
        <v>6.8900000000000003E-2</v>
      </c>
    </row>
    <row r="29" spans="1:58" s="473" customFormat="1" ht="12.75" customHeight="1">
      <c r="A29" s="411" t="s">
        <v>833</v>
      </c>
      <c r="B29" s="411" t="s">
        <v>830</v>
      </c>
      <c r="C29" s="467"/>
      <c r="D29" s="468"/>
      <c r="E29" s="468"/>
      <c r="F29" s="469"/>
      <c r="G29" s="468"/>
      <c r="H29" s="468"/>
      <c r="I29" s="468"/>
      <c r="J29" s="469"/>
      <c r="K29" s="467"/>
      <c r="L29" s="468"/>
      <c r="M29" s="468"/>
      <c r="N29" s="469"/>
      <c r="O29" s="467"/>
      <c r="P29" s="468"/>
      <c r="Q29" s="468"/>
      <c r="R29" s="469"/>
      <c r="S29" s="467"/>
      <c r="T29" s="468"/>
      <c r="U29" s="468"/>
      <c r="V29" s="469"/>
      <c r="W29" s="467"/>
      <c r="X29" s="470"/>
      <c r="Y29" s="470"/>
      <c r="Z29" s="471"/>
      <c r="AA29" s="467"/>
      <c r="AB29" s="468"/>
      <c r="AC29" s="468"/>
      <c r="AD29" s="469"/>
      <c r="AE29" s="468"/>
      <c r="AF29" s="468"/>
      <c r="AG29" s="468"/>
      <c r="AH29" s="468"/>
      <c r="AI29" s="467"/>
      <c r="AJ29" s="468"/>
      <c r="AK29" s="468"/>
      <c r="AL29" s="469"/>
      <c r="AM29" s="467"/>
      <c r="AN29" s="468"/>
      <c r="AO29" s="468"/>
      <c r="AP29" s="469"/>
      <c r="AQ29" s="476">
        <v>1.44</v>
      </c>
      <c r="AR29" s="476">
        <v>1.34</v>
      </c>
      <c r="AS29" s="476">
        <v>1.31</v>
      </c>
      <c r="AT29" s="477">
        <v>1.45</v>
      </c>
      <c r="AU29" s="476">
        <v>1.35</v>
      </c>
      <c r="AV29" s="476">
        <v>1.23</v>
      </c>
      <c r="AW29" s="476">
        <v>1.19</v>
      </c>
      <c r="AX29" s="478">
        <v>1.33</v>
      </c>
      <c r="AY29" s="479">
        <v>1.25</v>
      </c>
      <c r="AZ29" s="476">
        <v>1.22</v>
      </c>
      <c r="BA29" s="476">
        <v>1.19</v>
      </c>
      <c r="BB29" s="477">
        <v>1.3</v>
      </c>
      <c r="BC29" s="476">
        <v>1.41</v>
      </c>
      <c r="BD29" s="476">
        <v>2.23</v>
      </c>
      <c r="BE29" s="476">
        <v>2.13</v>
      </c>
      <c r="BF29" s="476">
        <v>2.2000000000000002</v>
      </c>
    </row>
    <row r="30" spans="1:58" s="473" customFormat="1" ht="12.75" customHeight="1">
      <c r="A30" s="411" t="s">
        <v>834</v>
      </c>
      <c r="B30" s="411" t="s">
        <v>831</v>
      </c>
      <c r="C30" s="467"/>
      <c r="D30" s="468"/>
      <c r="E30" s="468"/>
      <c r="F30" s="469"/>
      <c r="G30" s="468"/>
      <c r="H30" s="468"/>
      <c r="I30" s="468"/>
      <c r="J30" s="469"/>
      <c r="K30" s="467"/>
      <c r="L30" s="468"/>
      <c r="M30" s="468"/>
      <c r="N30" s="469"/>
      <c r="O30" s="467"/>
      <c r="P30" s="468"/>
      <c r="Q30" s="468"/>
      <c r="R30" s="469"/>
      <c r="S30" s="467"/>
      <c r="T30" s="468"/>
      <c r="U30" s="468"/>
      <c r="V30" s="469"/>
      <c r="W30" s="467"/>
      <c r="X30" s="470"/>
      <c r="Y30" s="470"/>
      <c r="Z30" s="471"/>
      <c r="AA30" s="467"/>
      <c r="AB30" s="468"/>
      <c r="AC30" s="468"/>
      <c r="AD30" s="469"/>
      <c r="AE30" s="468"/>
      <c r="AF30" s="468"/>
      <c r="AG30" s="468"/>
      <c r="AH30" s="468"/>
      <c r="AI30" s="467"/>
      <c r="AJ30" s="468"/>
      <c r="AK30" s="468"/>
      <c r="AL30" s="469"/>
      <c r="AM30" s="467"/>
      <c r="AN30" s="468"/>
      <c r="AO30" s="468"/>
      <c r="AP30" s="469"/>
      <c r="AQ30" s="476">
        <v>1.22</v>
      </c>
      <c r="AR30" s="476">
        <v>1.19</v>
      </c>
      <c r="AS30" s="476">
        <v>1.1599999999999999</v>
      </c>
      <c r="AT30" s="477">
        <v>1.22</v>
      </c>
      <c r="AU30" s="476">
        <v>1.19</v>
      </c>
      <c r="AV30" s="476">
        <v>1.23</v>
      </c>
      <c r="AW30" s="476">
        <v>1.17</v>
      </c>
      <c r="AX30" s="478">
        <v>1.31</v>
      </c>
      <c r="AY30" s="479">
        <v>1.28</v>
      </c>
      <c r="AZ30" s="476">
        <v>1.28</v>
      </c>
      <c r="BA30" s="476">
        <v>1.26</v>
      </c>
      <c r="BB30" s="477">
        <v>1.3</v>
      </c>
      <c r="BC30" s="476">
        <v>1.3</v>
      </c>
      <c r="BD30" s="476">
        <v>1.44</v>
      </c>
      <c r="BE30" s="476">
        <v>1.44</v>
      </c>
      <c r="BF30" s="476">
        <v>1.44</v>
      </c>
    </row>
    <row r="31" spans="1:58" s="424" customFormat="1" ht="11.25">
      <c r="A31" s="411"/>
      <c r="B31" s="411"/>
      <c r="C31" s="414"/>
      <c r="D31" s="415"/>
      <c r="E31" s="415"/>
      <c r="F31" s="416"/>
      <c r="G31" s="415"/>
      <c r="H31" s="415"/>
      <c r="I31" s="415"/>
      <c r="J31" s="416"/>
      <c r="K31" s="414"/>
      <c r="L31" s="415"/>
      <c r="M31" s="415"/>
      <c r="N31" s="416"/>
      <c r="O31" s="414"/>
      <c r="P31" s="415"/>
      <c r="Q31" s="415"/>
      <c r="R31" s="416"/>
      <c r="S31" s="414"/>
      <c r="T31" s="415"/>
      <c r="U31" s="415"/>
      <c r="V31" s="416"/>
      <c r="W31" s="414"/>
      <c r="X31" s="415"/>
      <c r="Y31" s="415"/>
      <c r="Z31" s="416"/>
      <c r="AA31" s="414"/>
      <c r="AB31" s="415"/>
      <c r="AC31" s="415"/>
      <c r="AD31" s="416"/>
      <c r="AE31" s="415"/>
      <c r="AF31" s="415"/>
      <c r="AG31" s="415"/>
      <c r="AH31" s="415"/>
      <c r="AI31" s="414"/>
      <c r="AJ31" s="415"/>
      <c r="AK31" s="415"/>
      <c r="AL31" s="416"/>
      <c r="AM31" s="414"/>
      <c r="AN31" s="415"/>
      <c r="AO31" s="415"/>
      <c r="AP31" s="416"/>
      <c r="AQ31" s="414"/>
      <c r="AR31" s="415"/>
      <c r="AS31" s="415"/>
      <c r="AT31" s="416"/>
      <c r="AU31" s="414"/>
      <c r="AV31" s="415"/>
      <c r="AW31" s="415"/>
      <c r="AX31" s="422"/>
      <c r="AY31" s="423"/>
      <c r="AZ31" s="415"/>
      <c r="BA31" s="415"/>
      <c r="BB31" s="415"/>
      <c r="BC31" s="414"/>
      <c r="BD31" s="415"/>
      <c r="BE31" s="415"/>
      <c r="BF31" s="415"/>
    </row>
    <row r="32" spans="1:58" s="424" customFormat="1" ht="11.25">
      <c r="A32" s="421" t="s">
        <v>307</v>
      </c>
      <c r="B32" s="421" t="s">
        <v>141</v>
      </c>
      <c r="C32" s="414"/>
      <c r="D32" s="415"/>
      <c r="E32" s="415"/>
      <c r="F32" s="416"/>
      <c r="G32" s="415"/>
      <c r="H32" s="415"/>
      <c r="I32" s="415"/>
      <c r="J32" s="416"/>
      <c r="K32" s="414"/>
      <c r="L32" s="415"/>
      <c r="M32" s="415"/>
      <c r="N32" s="416"/>
      <c r="O32" s="414"/>
      <c r="P32" s="415"/>
      <c r="Q32" s="415"/>
      <c r="R32" s="416"/>
      <c r="S32" s="414"/>
      <c r="T32" s="415"/>
      <c r="U32" s="415"/>
      <c r="V32" s="416"/>
      <c r="W32" s="414"/>
      <c r="X32" s="415"/>
      <c r="Y32" s="415"/>
      <c r="Z32" s="416"/>
      <c r="AA32" s="414"/>
      <c r="AB32" s="415"/>
      <c r="AC32" s="415"/>
      <c r="AD32" s="416"/>
      <c r="AE32" s="415"/>
      <c r="AF32" s="415"/>
      <c r="AG32" s="415"/>
      <c r="AH32" s="415"/>
      <c r="AI32" s="414"/>
      <c r="AJ32" s="415"/>
      <c r="AK32" s="415"/>
      <c r="AL32" s="416"/>
      <c r="AM32" s="414"/>
      <c r="AN32" s="415"/>
      <c r="AO32" s="415"/>
      <c r="AP32" s="416"/>
      <c r="AQ32" s="414"/>
      <c r="AR32" s="415"/>
      <c r="AS32" s="415"/>
      <c r="AT32" s="416"/>
      <c r="AU32" s="414"/>
      <c r="AV32" s="480"/>
      <c r="AW32" s="480"/>
      <c r="AX32" s="481"/>
      <c r="AY32" s="423"/>
      <c r="AZ32" s="480"/>
      <c r="BA32" s="480"/>
      <c r="BB32" s="480"/>
      <c r="BC32" s="414"/>
      <c r="BD32" s="480"/>
      <c r="BE32" s="480"/>
      <c r="BF32" s="480"/>
    </row>
    <row r="33" spans="1:58" s="424" customFormat="1" ht="11.25">
      <c r="A33" s="411" t="s">
        <v>298</v>
      </c>
      <c r="B33" s="411" t="s">
        <v>330</v>
      </c>
      <c r="C33" s="482">
        <v>1.3</v>
      </c>
      <c r="D33" s="483">
        <v>1.2</v>
      </c>
      <c r="E33" s="483">
        <v>1.2</v>
      </c>
      <c r="F33" s="484">
        <v>1.2</v>
      </c>
      <c r="G33" s="485">
        <f t="shared" ref="G33:AW33" si="0">SUM(D10:G10)/AVERAGE(C13:G13)*100</f>
        <v>1.1570517500521229</v>
      </c>
      <c r="H33" s="485">
        <f t="shared" si="0"/>
        <v>1.2589176316876189</v>
      </c>
      <c r="I33" s="485">
        <f t="shared" si="0"/>
        <v>1.1534066954237272</v>
      </c>
      <c r="J33" s="486">
        <f t="shared" si="0"/>
        <v>0.72391806430745886</v>
      </c>
      <c r="K33" s="487">
        <f t="shared" si="0"/>
        <v>0.54411853260928289</v>
      </c>
      <c r="L33" s="485">
        <f t="shared" si="0"/>
        <v>0.45929914668496952</v>
      </c>
      <c r="M33" s="485">
        <f t="shared" si="0"/>
        <v>0.5202623580767074</v>
      </c>
      <c r="N33" s="486">
        <f t="shared" si="0"/>
        <v>0.91140879816560361</v>
      </c>
      <c r="O33" s="487">
        <f t="shared" si="0"/>
        <v>1.0844579215277594</v>
      </c>
      <c r="P33" s="485">
        <f t="shared" si="0"/>
        <v>1.1215399707496736</v>
      </c>
      <c r="Q33" s="485">
        <f t="shared" si="0"/>
        <v>1.1003673052517613</v>
      </c>
      <c r="R33" s="486">
        <f t="shared" si="0"/>
        <v>1.2137044981684035</v>
      </c>
      <c r="S33" s="487">
        <f t="shared" si="0"/>
        <v>1.2461856220444401</v>
      </c>
      <c r="T33" s="485">
        <f t="shared" si="0"/>
        <v>1.2911733493114412</v>
      </c>
      <c r="U33" s="485">
        <f t="shared" si="0"/>
        <v>1.28580923277552</v>
      </c>
      <c r="V33" s="486">
        <f t="shared" si="0"/>
        <v>1.2894191445851866</v>
      </c>
      <c r="W33" s="487">
        <f t="shared" si="0"/>
        <v>1.3453256559089319</v>
      </c>
      <c r="X33" s="485">
        <f t="shared" si="0"/>
        <v>1.2347090172236814</v>
      </c>
      <c r="Y33" s="485">
        <f t="shared" si="0"/>
        <v>1.1901368400121808</v>
      </c>
      <c r="Z33" s="486">
        <f t="shared" si="0"/>
        <v>1.1427945315022991</v>
      </c>
      <c r="AA33" s="487">
        <f t="shared" si="0"/>
        <v>1.1022844761804449</v>
      </c>
      <c r="AB33" s="485">
        <f t="shared" si="0"/>
        <v>1.1393493107709507</v>
      </c>
      <c r="AC33" s="485">
        <f t="shared" si="0"/>
        <v>1.137372077199919</v>
      </c>
      <c r="AD33" s="486">
        <f t="shared" si="0"/>
        <v>1.1748496400182504</v>
      </c>
      <c r="AE33" s="488">
        <f t="shared" si="0"/>
        <v>1.1300177324405358</v>
      </c>
      <c r="AF33" s="488">
        <f t="shared" si="0"/>
        <v>1.1514869033859894</v>
      </c>
      <c r="AG33" s="488">
        <f t="shared" si="0"/>
        <v>1.1557616637213128</v>
      </c>
      <c r="AH33" s="488">
        <f t="shared" si="0"/>
        <v>1.0978628649336462</v>
      </c>
      <c r="AI33" s="487">
        <f t="shared" si="0"/>
        <v>1.0689405942211263</v>
      </c>
      <c r="AJ33" s="485">
        <f t="shared" si="0"/>
        <v>1.1030942719040875</v>
      </c>
      <c r="AK33" s="485">
        <f t="shared" si="0"/>
        <v>1.1146972263283337</v>
      </c>
      <c r="AL33" s="486">
        <f t="shared" si="0"/>
        <v>1.0655765449867127</v>
      </c>
      <c r="AM33" s="487">
        <f t="shared" si="0"/>
        <v>1.0385943200003989</v>
      </c>
      <c r="AN33" s="488">
        <f t="shared" si="0"/>
        <v>1.0702728055531974</v>
      </c>
      <c r="AO33" s="488">
        <f t="shared" si="0"/>
        <v>1.0634347015050634</v>
      </c>
      <c r="AP33" s="489">
        <f t="shared" si="0"/>
        <v>1.0966347927824105</v>
      </c>
      <c r="AQ33" s="487">
        <f t="shared" si="0"/>
        <v>1.113203151962338</v>
      </c>
      <c r="AR33" s="485">
        <f t="shared" si="0"/>
        <v>1.0595100689552084</v>
      </c>
      <c r="AS33" s="485">
        <f t="shared" si="0"/>
        <v>1.0843753537740994</v>
      </c>
      <c r="AT33" s="486">
        <f t="shared" si="0"/>
        <v>1.1599940210414363</v>
      </c>
      <c r="AU33" s="490">
        <f t="shared" si="0"/>
        <v>1.1588022619820151</v>
      </c>
      <c r="AV33" s="485">
        <f t="shared" si="0"/>
        <v>1.1453613820885384</v>
      </c>
      <c r="AW33" s="485">
        <f t="shared" si="0"/>
        <v>1.1220488127881438</v>
      </c>
      <c r="AX33" s="491">
        <f t="shared" ref="AX33:BF33" si="1">SUM(AU10:AX10)/AVERAGE(AT13:AX13)*100</f>
        <v>1.1530651191974823</v>
      </c>
      <c r="AY33" s="492">
        <f t="shared" si="1"/>
        <v>1.1212976457819197</v>
      </c>
      <c r="AZ33" s="485">
        <f t="shared" si="1"/>
        <v>1.1532731647009047</v>
      </c>
      <c r="BA33" s="485">
        <f t="shared" si="1"/>
        <v>1.1387998010530471</v>
      </c>
      <c r="BB33" s="485">
        <f t="shared" si="1"/>
        <v>1.1013009652965704</v>
      </c>
      <c r="BC33" s="490">
        <f t="shared" si="1"/>
        <v>1.0233323612261636</v>
      </c>
      <c r="BD33" s="485">
        <f t="shared" si="1"/>
        <v>0.88608655706498962</v>
      </c>
      <c r="BE33" s="485">
        <f t="shared" si="1"/>
        <v>0.86566876318250863</v>
      </c>
      <c r="BF33" s="485">
        <f t="shared" si="1"/>
        <v>0.75832238407123909</v>
      </c>
    </row>
    <row r="34" spans="1:58" s="424" customFormat="1" ht="11.25">
      <c r="A34" s="411" t="s">
        <v>299</v>
      </c>
      <c r="B34" s="411" t="s">
        <v>135</v>
      </c>
      <c r="C34" s="482">
        <v>16.3</v>
      </c>
      <c r="D34" s="483">
        <v>16.3</v>
      </c>
      <c r="E34" s="483">
        <v>17</v>
      </c>
      <c r="F34" s="484">
        <v>16.7</v>
      </c>
      <c r="G34" s="483">
        <f t="shared" ref="G34" si="2">SUM(D10:G10)/AVERAGE(C19:G19)*100</f>
        <v>16.593565728335388</v>
      </c>
      <c r="H34" s="483">
        <f t="shared" ref="H34" si="3">SUM(E10:H10)/AVERAGE(D19:H19)*100</f>
        <v>18.238422622908288</v>
      </c>
      <c r="I34" s="483">
        <f t="shared" ref="I34" si="4">SUM(F10:I10)/AVERAGE(E19:I19)*100</f>
        <v>16.857851106962933</v>
      </c>
      <c r="J34" s="484">
        <f t="shared" ref="J34" si="5">SUM(G10:J10)/AVERAGE(F19:J19)*100</f>
        <v>10.954147032493536</v>
      </c>
      <c r="K34" s="482">
        <f t="shared" ref="K34" si="6">SUM(H10:K10)/AVERAGE(G19:K19)*100</f>
        <v>8.4824501860650958</v>
      </c>
      <c r="L34" s="483">
        <f t="shared" ref="L34" si="7">SUM(I10:L10)/AVERAGE(H19:L19)*100</f>
        <v>7.084030611285562</v>
      </c>
      <c r="M34" s="483">
        <f t="shared" ref="M34" si="8">SUM(J10:M10)/AVERAGE(I19:M19)*100</f>
        <v>7.8343021277175007</v>
      </c>
      <c r="N34" s="484">
        <f t="shared" ref="N34" si="9">SUM(K10:N10)/AVERAGE(J19:N19)*100</f>
        <v>13.140230169314876</v>
      </c>
      <c r="O34" s="482">
        <f t="shared" ref="O34" si="10">SUM(L10:O10)/AVERAGE(K19:O19)*100</f>
        <v>14.685590798897834</v>
      </c>
      <c r="P34" s="483">
        <f t="shared" ref="P34" si="11">SUM(M10:P10)/AVERAGE(L19:P19)*100</f>
        <v>14.267095670590146</v>
      </c>
      <c r="Q34" s="483">
        <f t="shared" ref="Q34" si="12">SUM(N10:Q10)/AVERAGE(M19:Q19)*100</f>
        <v>13.340947046883</v>
      </c>
      <c r="R34" s="484">
        <f t="shared" ref="R34" si="13">SUM(O10:R10)/AVERAGE(N19:R19)*100</f>
        <v>14.221992249760165</v>
      </c>
      <c r="S34" s="482">
        <f t="shared" ref="S34" si="14">SUM(P10:S10)/AVERAGE(O19:S19)*100</f>
        <v>14.394941222026578</v>
      </c>
      <c r="T34" s="483">
        <f t="shared" ref="T34" si="15">SUM(Q10:T10)/AVERAGE(P19:T19)*100</f>
        <v>14.728310988153503</v>
      </c>
      <c r="U34" s="483">
        <f t="shared" ref="U34" si="16">SUM(R10:U10)/AVERAGE(Q19:U19)*100</f>
        <v>14.741449203666294</v>
      </c>
      <c r="V34" s="484">
        <f t="shared" ref="V34" si="17">SUM(S10:V10)/AVERAGE(R19:V19)*100</f>
        <v>14.671952414929013</v>
      </c>
      <c r="W34" s="482">
        <f t="shared" ref="W34" si="18">SUM(T10:W10)/AVERAGE(S19:W19)*100</f>
        <v>15.101518353064524</v>
      </c>
      <c r="X34" s="483">
        <f t="shared" ref="X34" si="19">SUM(U10:X10)/AVERAGE(T19:X19)*100</f>
        <v>13.515145696615328</v>
      </c>
      <c r="Y34" s="483">
        <f t="shared" ref="Y34" si="20">SUM(V10:Y10)/AVERAGE(U19:Y19)*100</f>
        <v>12.675080191096194</v>
      </c>
      <c r="Z34" s="484">
        <f t="shared" ref="Z34" si="21">SUM(W10:Z10)/AVERAGE(V19:Z19)*100</f>
        <v>11.656111791117095</v>
      </c>
      <c r="AA34" s="482">
        <f t="shared" ref="AA34" si="22">SUM(X10:AA10)/AVERAGE(W19:AA19)*100</f>
        <v>10.932682391252783</v>
      </c>
      <c r="AB34" s="483">
        <f t="shared" ref="AB34" si="23">SUM(Y10:AB10)/AVERAGE(X19:AB19)*100</f>
        <v>11.178454294027533</v>
      </c>
      <c r="AC34" s="483">
        <f t="shared" ref="AC34" si="24">SUM(Z10:AC10)/AVERAGE(Y19:AC19)*100</f>
        <v>11.207694374508655</v>
      </c>
      <c r="AD34" s="484">
        <f t="shared" ref="AD34" si="25">SUM(AA10:AD10)/AVERAGE(Z19:AD19)*100</f>
        <v>11.613160373940143</v>
      </c>
      <c r="AE34" s="337">
        <f t="shared" ref="AE34" si="26">SUM(AB10:AE10)/AVERAGE(AA19:AE19)*100</f>
        <v>11.345518733629429</v>
      </c>
      <c r="AF34" s="337">
        <f t="shared" ref="AF34" si="27">SUM(AC10:AF10)/AVERAGE(AB19:AF19)*100</f>
        <v>11.861809570244482</v>
      </c>
      <c r="AG34" s="337">
        <f t="shared" ref="AG34" si="28">SUM(AD10:AG10)/AVERAGE(AC19:AG19)*100</f>
        <v>11.815989694995032</v>
      </c>
      <c r="AH34" s="337">
        <f t="shared" ref="AH34" si="29">SUM(AE10:AH10)/AVERAGE(AD19:AH19)*100</f>
        <v>11.058053986509748</v>
      </c>
      <c r="AI34" s="482">
        <f t="shared" ref="AI34" si="30">SUM(AF10:AI10)/AVERAGE(AE19:AI19)*100</f>
        <v>10.759483265309481</v>
      </c>
      <c r="AJ34" s="483">
        <f t="shared" ref="AJ34" si="31">SUM(AG10:AJ10)/AVERAGE(AF19:AJ19)*100</f>
        <v>11.244701489360409</v>
      </c>
      <c r="AK34" s="483">
        <f t="shared" ref="AK34" si="32">SUM(AH10:AK10)/AVERAGE(AG19:AK19)*100</f>
        <v>11.413032710558118</v>
      </c>
      <c r="AL34" s="484">
        <f t="shared" ref="AL34" si="33">SUM(AI10:AL10)/AVERAGE(AH19:AL19)*100</f>
        <v>11.001712245188829</v>
      </c>
      <c r="AM34" s="482">
        <f t="shared" ref="AM34" si="34">SUM(AJ10:AM10)/AVERAGE(AI19:AM19)*100</f>
        <v>10.938502517838741</v>
      </c>
      <c r="AN34" s="337">
        <f t="shared" ref="AN34" si="35">SUM(AK10:AN10)/AVERAGE(AJ19:AN19)*100</f>
        <v>11.41528369503361</v>
      </c>
      <c r="AO34" s="337">
        <f t="shared" ref="AO34" si="36">SUM(AL10:AO10)/AVERAGE(AK19:AO19)*100</f>
        <v>11.264321352242574</v>
      </c>
      <c r="AP34" s="338">
        <f t="shared" ref="AP34" si="37">SUM(AM10:AP10)/AVERAGE(AL19:AP19)*100</f>
        <v>11.686841157827388</v>
      </c>
      <c r="AQ34" s="482">
        <f t="shared" ref="AQ34" si="38">SUM(AN10:AQ10)/AVERAGE(AM19:AQ19)*100</f>
        <v>12.045602205645544</v>
      </c>
      <c r="AR34" s="483">
        <f t="shared" ref="AR34" si="39">SUM(AO10:AR10)/AVERAGE(AN19:AR19)*100</f>
        <v>11.507644396722698</v>
      </c>
      <c r="AS34" s="483">
        <f t="shared" ref="AS34" si="40">SUM(AP10:AS10)/AVERAGE(AO19:AS19)*100</f>
        <v>11.764019883671768</v>
      </c>
      <c r="AT34" s="484">
        <f t="shared" ref="AT34" si="41">SUM(AQ10:AT10)/AVERAGE(AP19:AT19)*100</f>
        <v>12.654951223735859</v>
      </c>
      <c r="AU34" s="425">
        <f t="shared" ref="AU34:AW34" si="42">SUM(AR10:AU10)/AVERAGE(AQ19:AU19)*100</f>
        <v>12.495440260396203</v>
      </c>
      <c r="AV34" s="483">
        <f t="shared" si="42"/>
        <v>12.3594461481275</v>
      </c>
      <c r="AW34" s="483">
        <f t="shared" si="42"/>
        <v>12.173642330097746</v>
      </c>
      <c r="AX34" s="493">
        <f t="shared" ref="AX34:BF34" si="43">SUM(AU10:AX10)/AVERAGE(AT19:AX19)*100</f>
        <v>12.502769185326191</v>
      </c>
      <c r="AY34" s="427">
        <f t="shared" si="43"/>
        <v>12.147092768734833</v>
      </c>
      <c r="AZ34" s="483">
        <f t="shared" si="43"/>
        <v>12.492612929835143</v>
      </c>
      <c r="BA34" s="483">
        <f t="shared" si="43"/>
        <v>12.14067976104802</v>
      </c>
      <c r="BB34" s="483">
        <f t="shared" si="43"/>
        <v>11.608928803889098</v>
      </c>
      <c r="BC34" s="425">
        <f t="shared" si="43"/>
        <v>10.611568232748164</v>
      </c>
      <c r="BD34" s="483">
        <f t="shared" si="43"/>
        <v>9.0219139212503858</v>
      </c>
      <c r="BE34" s="483">
        <f t="shared" si="43"/>
        <v>8.7055846857307575</v>
      </c>
      <c r="BF34" s="483">
        <f t="shared" si="43"/>
        <v>7.5987997350418546</v>
      </c>
    </row>
    <row r="35" spans="1:58" s="424" customFormat="1" ht="11.25">
      <c r="A35" s="411" t="s">
        <v>300</v>
      </c>
      <c r="B35" s="411" t="s">
        <v>136</v>
      </c>
      <c r="C35" s="482">
        <f>+C7/C6*100</f>
        <v>62.333086053412458</v>
      </c>
      <c r="D35" s="483">
        <f t="shared" ref="D35:AB35" si="44">ROUND(D7/D6*100,1)</f>
        <v>66.099999999999994</v>
      </c>
      <c r="E35" s="483">
        <f t="shared" si="44"/>
        <v>65.8</v>
      </c>
      <c r="F35" s="484">
        <f t="shared" si="44"/>
        <v>75</v>
      </c>
      <c r="G35" s="483">
        <f t="shared" si="44"/>
        <v>63.1</v>
      </c>
      <c r="H35" s="483">
        <f t="shared" si="44"/>
        <v>62.3</v>
      </c>
      <c r="I35" s="483">
        <f t="shared" si="44"/>
        <v>65.7</v>
      </c>
      <c r="J35" s="484">
        <f t="shared" si="44"/>
        <v>111.4</v>
      </c>
      <c r="K35" s="482">
        <f t="shared" si="44"/>
        <v>65.3</v>
      </c>
      <c r="L35" s="483">
        <f t="shared" si="44"/>
        <v>56.1</v>
      </c>
      <c r="M35" s="483">
        <f t="shared" si="44"/>
        <v>56.1</v>
      </c>
      <c r="N35" s="484">
        <f t="shared" si="44"/>
        <v>60.2</v>
      </c>
      <c r="O35" s="482">
        <f t="shared" si="44"/>
        <v>59.6</v>
      </c>
      <c r="P35" s="483">
        <f t="shared" si="44"/>
        <v>59.6</v>
      </c>
      <c r="Q35" s="483">
        <f t="shared" si="44"/>
        <v>58.5</v>
      </c>
      <c r="R35" s="484">
        <f t="shared" si="44"/>
        <v>56.7</v>
      </c>
      <c r="S35" s="482">
        <f t="shared" si="44"/>
        <v>56.3</v>
      </c>
      <c r="T35" s="483">
        <f t="shared" si="44"/>
        <v>56.9</v>
      </c>
      <c r="U35" s="483">
        <f t="shared" si="44"/>
        <v>58.7</v>
      </c>
      <c r="V35" s="484">
        <f t="shared" si="44"/>
        <v>55.7</v>
      </c>
      <c r="W35" s="482">
        <f t="shared" si="44"/>
        <v>55.4</v>
      </c>
      <c r="X35" s="483">
        <f t="shared" si="44"/>
        <v>57.9</v>
      </c>
      <c r="Y35" s="483">
        <f t="shared" si="44"/>
        <v>58.2</v>
      </c>
      <c r="Z35" s="484">
        <f t="shared" si="44"/>
        <v>58.7</v>
      </c>
      <c r="AA35" s="482">
        <f t="shared" si="44"/>
        <v>55.8</v>
      </c>
      <c r="AB35" s="483">
        <f t="shared" si="44"/>
        <v>58.6</v>
      </c>
      <c r="AC35" s="483">
        <f t="shared" ref="AC35:AI35" si="45">ROUND(AC7/AC6*100,1)</f>
        <v>56.6</v>
      </c>
      <c r="AD35" s="484">
        <f t="shared" si="45"/>
        <v>53.7</v>
      </c>
      <c r="AE35" s="337">
        <f t="shared" si="45"/>
        <v>53.3</v>
      </c>
      <c r="AF35" s="337">
        <f t="shared" si="45"/>
        <v>53.5</v>
      </c>
      <c r="AG35" s="337">
        <f t="shared" si="45"/>
        <v>54.6</v>
      </c>
      <c r="AH35" s="337">
        <f>ROUND(AH7/AH6*100,1)</f>
        <v>56.4</v>
      </c>
      <c r="AI35" s="482">
        <f t="shared" si="45"/>
        <v>54.7</v>
      </c>
      <c r="AJ35" s="483">
        <f t="shared" ref="AJ35:AS35" si="46">ROUND(AJ7/AJ6*100,1)</f>
        <v>51.2</v>
      </c>
      <c r="AK35" s="483">
        <f t="shared" si="46"/>
        <v>54.4</v>
      </c>
      <c r="AL35" s="484">
        <f t="shared" si="46"/>
        <v>68</v>
      </c>
      <c r="AM35" s="482">
        <f t="shared" si="46"/>
        <v>52.2</v>
      </c>
      <c r="AN35" s="337">
        <f t="shared" si="46"/>
        <v>44.9</v>
      </c>
      <c r="AO35" s="337">
        <f t="shared" si="46"/>
        <v>48</v>
      </c>
      <c r="AP35" s="338">
        <f t="shared" si="46"/>
        <v>49.7</v>
      </c>
      <c r="AQ35" s="482">
        <f>ROUND(AQ7/AQ6*100,1)</f>
        <v>49.8</v>
      </c>
      <c r="AR35" s="483">
        <f>ROUND(AR7/AR6*100,1)</f>
        <v>43</v>
      </c>
      <c r="AS35" s="483">
        <f t="shared" si="46"/>
        <v>43.6</v>
      </c>
      <c r="AT35" s="484">
        <f t="shared" ref="AT35:AY35" si="47">ROUND(AT7/AT6*100,1)</f>
        <v>43.1</v>
      </c>
      <c r="AU35" s="425">
        <f t="shared" si="47"/>
        <v>50</v>
      </c>
      <c r="AV35" s="483">
        <f t="shared" si="47"/>
        <v>42.4</v>
      </c>
      <c r="AW35" s="483">
        <f t="shared" si="47"/>
        <v>44.2</v>
      </c>
      <c r="AX35" s="493">
        <f t="shared" si="47"/>
        <v>41.7</v>
      </c>
      <c r="AY35" s="427">
        <f t="shared" si="47"/>
        <v>52</v>
      </c>
      <c r="AZ35" s="483">
        <f t="shared" ref="AZ35:BA35" si="48">ROUND(AZ7/AZ6*100,1)</f>
        <v>40</v>
      </c>
      <c r="BA35" s="483">
        <f t="shared" si="48"/>
        <v>41.1</v>
      </c>
      <c r="BB35" s="483">
        <f t="shared" ref="BB35:BC35" si="49">ROUND(BB7/BB6*100,1)</f>
        <v>39.700000000000003</v>
      </c>
      <c r="BC35" s="425">
        <f t="shared" si="49"/>
        <v>49.6</v>
      </c>
      <c r="BD35" s="483">
        <f t="shared" ref="BD35:BE35" si="50">ROUND(BD7/BD6*100,1)</f>
        <v>42.2</v>
      </c>
      <c r="BE35" s="483">
        <f t="shared" si="50"/>
        <v>43</v>
      </c>
      <c r="BF35" s="483">
        <f t="shared" ref="BF35" si="51">ROUND(BF7/BF6*100,1)</f>
        <v>42.5</v>
      </c>
    </row>
    <row r="36" spans="1:58" s="424" customFormat="1" ht="11.25">
      <c r="A36" s="411" t="s">
        <v>386</v>
      </c>
      <c r="B36" s="411" t="s">
        <v>331</v>
      </c>
      <c r="C36" s="482">
        <f>+C7/C6*100</f>
        <v>62.333086053412458</v>
      </c>
      <c r="D36" s="483">
        <f>(+C7+D7)/(C6+D6)*100</f>
        <v>64.16996419822874</v>
      </c>
      <c r="E36" s="483">
        <f>(+C7+D7+E7)/(C6+D6+E6)*100</f>
        <v>64.725322691276418</v>
      </c>
      <c r="F36" s="484">
        <f>(+C7+D7+E7+F7)/(C6+D6+E6+F6)*100</f>
        <v>67.075930473301554</v>
      </c>
      <c r="G36" s="483">
        <f>+G7/G6*100</f>
        <v>63.102797322807604</v>
      </c>
      <c r="H36" s="483">
        <f>(+G7+H7)/(G6+H6)*100</f>
        <v>62.694472029129415</v>
      </c>
      <c r="I36" s="483">
        <f>(+G7+H7+I7)/(G6+H6+I6)*100</f>
        <v>63.726348025812086</v>
      </c>
      <c r="J36" s="483">
        <f>(+G7+H7+I7+J7)/(G6+H6+I6+J6)*100</f>
        <v>70.52286049237982</v>
      </c>
      <c r="K36" s="482">
        <f>+K7/K6*100</f>
        <v>65.336658354114718</v>
      </c>
      <c r="L36" s="483">
        <f>(+K7+L7)/(K6+L6)*100</f>
        <v>60.24790083966414</v>
      </c>
      <c r="M36" s="483">
        <f>(+K7+L7+M7)/(K6+L6+M6)*100</f>
        <v>58.742151207310222</v>
      </c>
      <c r="N36" s="484">
        <f>(+K7+L7+M7+N7)/(K6+L6+M6+N6)*100</f>
        <v>59.087342070156154</v>
      </c>
      <c r="O36" s="482">
        <f>+O7/O6*100</f>
        <v>59.577039274924481</v>
      </c>
      <c r="P36" s="483">
        <f>(+O7+P7)/(O6+P6)*100</f>
        <v>59.613239122350315</v>
      </c>
      <c r="Q36" s="483">
        <f>(+O7+P7+Q7)/(O6+P6+Q6)*100</f>
        <v>59.216049985355859</v>
      </c>
      <c r="R36" s="483">
        <f>(+O7+P7+Q7+R7)/(O6+P6+Q6+R6)*100</f>
        <v>58.586924868957489</v>
      </c>
      <c r="S36" s="482">
        <f>+S7/S6*100</f>
        <v>56.283710895361374</v>
      </c>
      <c r="T36" s="483">
        <f>(+S7+T7)/(S6+T6)*100</f>
        <v>56.571847311971226</v>
      </c>
      <c r="U36" s="483">
        <f>(+S7+T7+U7)/(S6+T6+U6)*100</f>
        <v>57.261058186859884</v>
      </c>
      <c r="V36" s="484">
        <f>(+S7+T7+U7+V7)/(S6+T6+U6+V6)*100</f>
        <v>56.856187290969906</v>
      </c>
      <c r="W36" s="482">
        <f>+W7/W6*100</f>
        <v>55.427170868347339</v>
      </c>
      <c r="X36" s="483">
        <f>(+W7+X7)/(W6+X6)*100</f>
        <v>56.610251159429012</v>
      </c>
      <c r="Y36" s="483">
        <f>(+X7+Y7+W7)/(X6+Y6+W6)*100</f>
        <v>57.116743845966369</v>
      </c>
      <c r="Z36" s="484">
        <f>(+Y7+W7+X7+Z7)/(Y6+W6+X6+Z6)*100</f>
        <v>57.50824319743613</v>
      </c>
      <c r="AA36" s="482">
        <f>(+AA7/AA6)*100</f>
        <v>55.797269150659567</v>
      </c>
      <c r="AB36" s="483">
        <f>(+AA7+AB7)/(AA6+AB6)*100</f>
        <v>57.153071560507676</v>
      </c>
      <c r="AC36" s="483">
        <f>(+AA7+AC7+AB7)/(AA6+AC6+AB6)*100</f>
        <v>56.961516831364989</v>
      </c>
      <c r="AD36" s="484">
        <f>(+AA7+AD7+AC7+AB7)/(AA6+AD6+AC6+AB6)*100</f>
        <v>56.133393420459669</v>
      </c>
      <c r="AE36" s="482">
        <f>(+AE7/AE6)*100</f>
        <v>53.315229689975119</v>
      </c>
      <c r="AF36" s="483">
        <f>(+AE7+AF7)/(AE6+AF6)*100</f>
        <v>53.421274207128825</v>
      </c>
      <c r="AG36" s="483">
        <f>(+AE7+AG7+AF7)/(AE6+AG6+AF6)*100</f>
        <v>53.800209048827831</v>
      </c>
      <c r="AH36" s="483">
        <f>(+AE7+AH7+AF7+AG7)/(AE6+AH6+AF6+AG6)*100</f>
        <v>54.437485894831859</v>
      </c>
      <c r="AI36" s="482">
        <f>(+AI7)/(AI6)*100</f>
        <v>54.701986754966889</v>
      </c>
      <c r="AJ36" s="483">
        <f>(+AI7+AJ7)/(AI6+AJ6)*100</f>
        <v>52.871675320546785</v>
      </c>
      <c r="AK36" s="483">
        <f>(+AI7+AK7+AJ7)/(AI6+AK6+AJ6)*100</f>
        <v>53.37935917861568</v>
      </c>
      <c r="AL36" s="484">
        <f>(+AJ7+AL7+AK7+AI7)/(AJ6+AL6+AK6+AI6)*100</f>
        <v>57.057780365792318</v>
      </c>
      <c r="AM36" s="482">
        <f>ROUND(AM7/AM6*100,1)</f>
        <v>52.2</v>
      </c>
      <c r="AN36" s="483">
        <f>(+AM7+AN7)/(AM6+AN6)*100</f>
        <v>48.214285714285715</v>
      </c>
      <c r="AO36" s="483">
        <f>(+AN7+AO7+AM7)/(AN6+AO6+AM6)*100</f>
        <v>48.13427010148321</v>
      </c>
      <c r="AP36" s="484">
        <f>(+AN7+AP7+AM7+AO7)/(AN6+AP6+AM6+AO6)*100</f>
        <v>48.542027980113303</v>
      </c>
      <c r="AQ36" s="482">
        <f>SUM($AQ$7:AQ7)/SUM($AQ$6:AQ6)*100</f>
        <v>49.81943098740421</v>
      </c>
      <c r="AR36" s="483">
        <f>SUM($AQ$7:AR7)/SUM($AQ$6:AR6)*100</f>
        <v>46.314839486011437</v>
      </c>
      <c r="AS36" s="483">
        <f>SUM($AQ$7:AS7)/SUM($AQ$6:AS6)*100</f>
        <v>45.380879778643639</v>
      </c>
      <c r="AT36" s="484">
        <f>SUM($AQ$7:AT7)/SUM($AQ$6:AT6)*100</f>
        <v>44.784131177790364</v>
      </c>
      <c r="AU36" s="482">
        <f>SUM($AU$7:AU7)/SUM($AU$6:AU6)*100</f>
        <v>49.988065876362491</v>
      </c>
      <c r="AV36" s="483">
        <f>SUM($AU$7:AV7)/SUM($AU$6:AV6)*100</f>
        <v>46.094815161076689</v>
      </c>
      <c r="AW36" s="483">
        <f>SUM($AU$7:AW7)/SUM($AU$6:AW6)*100</f>
        <v>45.455719080815904</v>
      </c>
      <c r="AX36" s="493">
        <f>SUM($AU$7:AX7)/SUM($AU$6:AX6)*100</f>
        <v>44.469077287669137</v>
      </c>
      <c r="AY36" s="494">
        <f>SUM($AY$7:AY7)/SUM($AY$6:AY6)*100</f>
        <v>52.016158118733301</v>
      </c>
      <c r="AZ36" s="483">
        <f>SUM($AY$7:AZ7)/SUM($AY$6:AZ6)*100</f>
        <v>45.892511013215859</v>
      </c>
      <c r="BA36" s="483">
        <f>SUM($AY$7:BA7)/SUM($AY$6:BA6)*100</f>
        <v>44.240764804158147</v>
      </c>
      <c r="BB36" s="483">
        <f>SUM($AY$7:BB7)/SUM($AY$6:BB6)*100</f>
        <v>43.085363328962799</v>
      </c>
      <c r="BC36" s="482">
        <f>SUM($BC$7:BC7)/SUM($BC$6:BC6)*100</f>
        <v>49.593652012542393</v>
      </c>
      <c r="BD36" s="483">
        <f>SUM($BC$7:BD7)/SUM($BC$6:BD6)*100</f>
        <v>45.970469624040582</v>
      </c>
      <c r="BE36" s="483">
        <f>SUM($BC$7:BE7)/SUM($BC$6:BE6)*100</f>
        <v>44.958827724826548</v>
      </c>
      <c r="BF36" s="483">
        <f>SUM($BC$7:BF7)/SUM($BC$6:BF6)*100</f>
        <v>44.336912385446254</v>
      </c>
    </row>
    <row r="37" spans="1:58" s="424" customFormat="1" ht="12">
      <c r="A37" s="411" t="s">
        <v>956</v>
      </c>
      <c r="B37" s="411" t="s">
        <v>957</v>
      </c>
      <c r="C37" s="495" t="s">
        <v>332</v>
      </c>
      <c r="D37" s="496" t="s">
        <v>332</v>
      </c>
      <c r="E37" s="496" t="s">
        <v>332</v>
      </c>
      <c r="F37" s="497" t="s">
        <v>332</v>
      </c>
      <c r="G37" s="498">
        <v>2.04</v>
      </c>
      <c r="H37" s="498">
        <v>2.14</v>
      </c>
      <c r="I37" s="498">
        <v>2.15</v>
      </c>
      <c r="J37" s="499">
        <v>2.14</v>
      </c>
      <c r="K37" s="495">
        <v>2.08</v>
      </c>
      <c r="L37" s="496">
        <v>2.11</v>
      </c>
      <c r="M37" s="496">
        <v>2.1800000000000002</v>
      </c>
      <c r="N37" s="497">
        <v>2.25</v>
      </c>
      <c r="O37" s="500">
        <v>2.4500000000000002</v>
      </c>
      <c r="P37" s="498">
        <v>2.58</v>
      </c>
      <c r="Q37" s="498">
        <v>2.66</v>
      </c>
      <c r="R37" s="499">
        <v>2.78</v>
      </c>
      <c r="S37" s="495">
        <v>2.79</v>
      </c>
      <c r="T37" s="496">
        <v>2.83</v>
      </c>
      <c r="U37" s="496">
        <v>2.84</v>
      </c>
      <c r="V37" s="497">
        <v>2.87</v>
      </c>
      <c r="W37" s="500">
        <v>2.89</v>
      </c>
      <c r="X37" s="498">
        <v>2.94</v>
      </c>
      <c r="Y37" s="498">
        <v>2.95</v>
      </c>
      <c r="Z37" s="499">
        <v>2.94</v>
      </c>
      <c r="AA37" s="495">
        <v>2.87</v>
      </c>
      <c r="AB37" s="496">
        <v>2.76</v>
      </c>
      <c r="AC37" s="496">
        <v>2.69</v>
      </c>
      <c r="AD37" s="497">
        <v>2.68</v>
      </c>
      <c r="AE37" s="498">
        <v>2.73</v>
      </c>
      <c r="AF37" s="498">
        <v>2.73</v>
      </c>
      <c r="AG37" s="498">
        <v>2.72</v>
      </c>
      <c r="AH37" s="498">
        <v>2.67</v>
      </c>
      <c r="AI37" s="495">
        <v>2.56</v>
      </c>
      <c r="AJ37" s="496">
        <v>2.4700000000000002</v>
      </c>
      <c r="AK37" s="496">
        <v>2.4300000000000002</v>
      </c>
      <c r="AL37" s="497">
        <v>2.4500000000000002</v>
      </c>
      <c r="AM37" s="500">
        <v>2.48</v>
      </c>
      <c r="AN37" s="498">
        <v>2.5</v>
      </c>
      <c r="AO37" s="498">
        <v>2.57</v>
      </c>
      <c r="AP37" s="489">
        <f>'Marża odsetkowa_NIM'!AP24*100</f>
        <v>2.6724743108927163</v>
      </c>
      <c r="AQ37" s="487">
        <f>'Marża odsetkowa_NIM'!AQ24*100</f>
        <v>2.7272548574108182</v>
      </c>
      <c r="AR37" s="485">
        <f>'Marża odsetkowa_NIM'!AR24*100</f>
        <v>2.8038893743417432</v>
      </c>
      <c r="AS37" s="485">
        <f>'Marża odsetkowa_NIM'!AS24*100</f>
        <v>2.8467504374346522</v>
      </c>
      <c r="AT37" s="486">
        <f>'Marża odsetkowa_NIM'!AT24*100</f>
        <v>2.8826909606282287</v>
      </c>
      <c r="AU37" s="490">
        <f>'Marża odsetkowa_NIM'!AU24*100</f>
        <v>2.9091609961617753</v>
      </c>
      <c r="AV37" s="485">
        <f>'Marża odsetkowa_NIM'!AV24*100</f>
        <v>2.9277905773257311</v>
      </c>
      <c r="AW37" s="485">
        <f>'Marża odsetkowa_NIM'!AW24*100</f>
        <v>2.9369803661971652</v>
      </c>
      <c r="AX37" s="491">
        <f>'Marża odsetkowa_NIM'!AX24*100</f>
        <v>2.9248456350921095</v>
      </c>
      <c r="AY37" s="492">
        <f>'Marża odsetkowa_NIM'!AY24*100</f>
        <v>2.9397767142825235</v>
      </c>
      <c r="AZ37" s="485">
        <f>'Marża odsetkowa_NIM'!AZ24*100</f>
        <v>2.9413902965142142</v>
      </c>
      <c r="BA37" s="485">
        <f>'Marża odsetkowa_NIM'!BA24*100</f>
        <v>2.9627676767362958</v>
      </c>
      <c r="BB37" s="485">
        <f>'Marża odsetkowa_NIM'!BB24*100</f>
        <v>2.9539122485015299</v>
      </c>
      <c r="BC37" s="490">
        <f>'Marża odsetkowa_NIM'!BC24*100</f>
        <v>2.9293907077649823</v>
      </c>
      <c r="BD37" s="485">
        <f>'Marża odsetkowa_NIM'!BD24*100</f>
        <v>2.8290517669353901</v>
      </c>
      <c r="BE37" s="485">
        <f>'Marża odsetkowa_NIM'!BE24*100</f>
        <v>2.7139290763076369</v>
      </c>
      <c r="BF37" s="485">
        <f>'Marża odsetkowa_NIM'!BF24*100</f>
        <v>2.6284885143536147</v>
      </c>
    </row>
    <row r="38" spans="1:58" s="418" customFormat="1" ht="11.25">
      <c r="A38" s="501"/>
      <c r="B38" s="501"/>
      <c r="C38" s="414"/>
      <c r="D38" s="415"/>
      <c r="E38" s="415"/>
      <c r="F38" s="416"/>
      <c r="G38" s="415"/>
      <c r="H38" s="415"/>
      <c r="I38" s="415"/>
      <c r="J38" s="416"/>
      <c r="K38" s="414"/>
      <c r="L38" s="415"/>
      <c r="M38" s="415"/>
      <c r="N38" s="416"/>
      <c r="O38" s="414"/>
      <c r="P38" s="415"/>
      <c r="Q38" s="415"/>
      <c r="R38" s="416"/>
      <c r="S38" s="414"/>
      <c r="T38" s="415"/>
      <c r="U38" s="415"/>
      <c r="V38" s="416"/>
      <c r="W38" s="414"/>
      <c r="X38" s="415"/>
      <c r="Y38" s="415"/>
      <c r="Z38" s="416"/>
      <c r="AA38" s="414"/>
      <c r="AB38" s="415"/>
      <c r="AC38" s="415"/>
      <c r="AD38" s="416"/>
      <c r="AE38" s="415"/>
      <c r="AF38" s="415"/>
      <c r="AG38" s="415"/>
      <c r="AH38" s="415"/>
      <c r="AI38" s="414"/>
      <c r="AJ38" s="415"/>
      <c r="AK38" s="415"/>
      <c r="AL38" s="416"/>
      <c r="AM38" s="414"/>
      <c r="AN38" s="415"/>
      <c r="AO38" s="415"/>
      <c r="AP38" s="416"/>
      <c r="AQ38" s="414"/>
      <c r="AR38" s="415"/>
      <c r="AS38" s="415"/>
      <c r="AT38" s="416"/>
      <c r="AU38" s="414"/>
      <c r="AV38" s="415"/>
      <c r="AW38" s="415"/>
      <c r="AX38" s="422"/>
      <c r="AY38" s="423"/>
      <c r="AZ38" s="415"/>
      <c r="BA38" s="415"/>
      <c r="BB38" s="415"/>
      <c r="BC38" s="414"/>
      <c r="BD38" s="415"/>
      <c r="BE38" s="415"/>
      <c r="BF38" s="415"/>
    </row>
    <row r="39" spans="1:58" s="418" customFormat="1" ht="11.25">
      <c r="A39" s="421" t="s">
        <v>310</v>
      </c>
      <c r="B39" s="421" t="s">
        <v>142</v>
      </c>
      <c r="C39" s="414"/>
      <c r="D39" s="415"/>
      <c r="E39" s="415"/>
      <c r="F39" s="416"/>
      <c r="G39" s="415"/>
      <c r="H39" s="415"/>
      <c r="I39" s="415"/>
      <c r="J39" s="416"/>
      <c r="K39" s="414"/>
      <c r="L39" s="415"/>
      <c r="M39" s="415"/>
      <c r="N39" s="416"/>
      <c r="O39" s="414"/>
      <c r="P39" s="415"/>
      <c r="Q39" s="415"/>
      <c r="R39" s="416"/>
      <c r="S39" s="414"/>
      <c r="T39" s="415"/>
      <c r="U39" s="415"/>
      <c r="V39" s="416"/>
      <c r="W39" s="414"/>
      <c r="X39" s="415"/>
      <c r="Y39" s="415"/>
      <c r="Z39" s="416"/>
      <c r="AA39" s="414"/>
      <c r="AB39" s="415"/>
      <c r="AC39" s="415"/>
      <c r="AD39" s="416"/>
      <c r="AE39" s="415"/>
      <c r="AF39" s="415"/>
      <c r="AG39" s="415"/>
      <c r="AH39" s="415"/>
      <c r="AI39" s="414"/>
      <c r="AJ39" s="415"/>
      <c r="AK39" s="415"/>
      <c r="AL39" s="416"/>
      <c r="AM39" s="414"/>
      <c r="AN39" s="415"/>
      <c r="AO39" s="415"/>
      <c r="AP39" s="416"/>
      <c r="AQ39" s="414"/>
      <c r="AR39" s="415"/>
      <c r="AS39" s="415"/>
      <c r="AT39" s="416"/>
      <c r="AU39" s="414"/>
      <c r="AV39" s="415"/>
      <c r="AW39" s="415"/>
      <c r="AX39" s="422"/>
      <c r="AY39" s="423"/>
      <c r="AZ39" s="415"/>
      <c r="BA39" s="415"/>
      <c r="BB39" s="415"/>
      <c r="BC39" s="414"/>
      <c r="BD39" s="415"/>
      <c r="BE39" s="415"/>
      <c r="BF39" s="415"/>
    </row>
    <row r="40" spans="1:58" s="418" customFormat="1" ht="12">
      <c r="A40" s="411" t="s">
        <v>958</v>
      </c>
      <c r="B40" s="411" t="s">
        <v>959</v>
      </c>
      <c r="C40" s="414">
        <v>130100000</v>
      </c>
      <c r="D40" s="415">
        <v>130100000</v>
      </c>
      <c r="E40" s="415">
        <v>130100000</v>
      </c>
      <c r="F40" s="416">
        <v>130100000</v>
      </c>
      <c r="G40" s="415">
        <v>130100000</v>
      </c>
      <c r="H40" s="415">
        <v>130100000</v>
      </c>
      <c r="I40" s="415">
        <v>130100000</v>
      </c>
      <c r="J40" s="415">
        <v>130100000</v>
      </c>
      <c r="K40" s="414">
        <v>130100000</v>
      </c>
      <c r="L40" s="415">
        <v>130100000</v>
      </c>
      <c r="M40" s="415">
        <v>130100000</v>
      </c>
      <c r="N40" s="416">
        <v>130100000</v>
      </c>
      <c r="O40" s="415">
        <v>130100000</v>
      </c>
      <c r="P40" s="415">
        <v>130100000</v>
      </c>
      <c r="Q40" s="415">
        <v>130100000</v>
      </c>
      <c r="R40" s="415">
        <v>130100000</v>
      </c>
      <c r="S40" s="414">
        <v>130100000</v>
      </c>
      <c r="T40" s="415">
        <v>130100000</v>
      </c>
      <c r="U40" s="415">
        <v>130100000</v>
      </c>
      <c r="V40" s="416">
        <v>130100000</v>
      </c>
      <c r="W40" s="414">
        <v>130100000</v>
      </c>
      <c r="X40" s="415">
        <v>130100000</v>
      </c>
      <c r="Y40" s="415">
        <v>130100000</v>
      </c>
      <c r="Z40" s="416">
        <v>130100000</v>
      </c>
      <c r="AA40" s="414">
        <v>130100000</v>
      </c>
      <c r="AB40" s="415">
        <v>130100000</v>
      </c>
      <c r="AC40" s="415">
        <v>130100000</v>
      </c>
      <c r="AD40" s="416">
        <v>130100000</v>
      </c>
      <c r="AE40" s="415">
        <v>130100000</v>
      </c>
      <c r="AF40" s="415">
        <v>130100000</v>
      </c>
      <c r="AG40" s="415">
        <v>130100000</v>
      </c>
      <c r="AH40" s="415">
        <v>130100000</v>
      </c>
      <c r="AI40" s="414">
        <v>130100000</v>
      </c>
      <c r="AJ40" s="415">
        <v>130100000</v>
      </c>
      <c r="AK40" s="415">
        <v>130100000</v>
      </c>
      <c r="AL40" s="416">
        <v>130100000</v>
      </c>
      <c r="AM40" s="414">
        <v>130100000</v>
      </c>
      <c r="AN40" s="415">
        <v>130100000</v>
      </c>
      <c r="AO40" s="415">
        <v>130100000</v>
      </c>
      <c r="AP40" s="416">
        <v>130100000</v>
      </c>
      <c r="AQ40" s="414">
        <v>130100000</v>
      </c>
      <c r="AR40" s="415">
        <v>130100000</v>
      </c>
      <c r="AS40" s="415">
        <v>130100000</v>
      </c>
      <c r="AT40" s="416">
        <v>130100000</v>
      </c>
      <c r="AU40" s="414">
        <v>130100000</v>
      </c>
      <c r="AV40" s="415">
        <v>130100000</v>
      </c>
      <c r="AW40" s="415">
        <v>130100000</v>
      </c>
      <c r="AX40" s="422">
        <v>130100000</v>
      </c>
      <c r="AY40" s="423">
        <v>130100000</v>
      </c>
      <c r="AZ40" s="415">
        <f>$AY$40</f>
        <v>130100000</v>
      </c>
      <c r="BA40" s="415">
        <f t="shared" ref="BA40:BF40" si="52">$AY$40</f>
        <v>130100000</v>
      </c>
      <c r="BB40" s="415">
        <f t="shared" si="52"/>
        <v>130100000</v>
      </c>
      <c r="BC40" s="414">
        <f t="shared" si="52"/>
        <v>130100000</v>
      </c>
      <c r="BD40" s="415">
        <f t="shared" si="52"/>
        <v>130100000</v>
      </c>
      <c r="BE40" s="415">
        <f t="shared" si="52"/>
        <v>130100000</v>
      </c>
      <c r="BF40" s="415">
        <f t="shared" si="52"/>
        <v>130100000</v>
      </c>
    </row>
    <row r="41" spans="1:58" s="418" customFormat="1" ht="11.25">
      <c r="A41" s="411" t="s">
        <v>309</v>
      </c>
      <c r="B41" s="411" t="s">
        <v>145</v>
      </c>
      <c r="C41" s="425">
        <v>3902.2999999999993</v>
      </c>
      <c r="D41" s="337">
        <v>3622</v>
      </c>
      <c r="E41" s="337">
        <v>3820.3999999999996</v>
      </c>
      <c r="F41" s="338">
        <v>3838.7999999999997</v>
      </c>
      <c r="G41" s="337">
        <v>4013.7</v>
      </c>
      <c r="H41" s="337">
        <v>3977.5999999999995</v>
      </c>
      <c r="I41" s="337">
        <v>4277.8999999999996</v>
      </c>
      <c r="J41" s="338">
        <v>4222.2</v>
      </c>
      <c r="K41" s="425">
        <v>4280.8999999999996</v>
      </c>
      <c r="L41" s="337">
        <v>4514.6000000000004</v>
      </c>
      <c r="M41" s="337">
        <v>4742.1000000000004</v>
      </c>
      <c r="N41" s="338">
        <v>4884.3999999999996</v>
      </c>
      <c r="O41" s="425">
        <v>5131.7</v>
      </c>
      <c r="P41" s="337">
        <v>5280.2</v>
      </c>
      <c r="Q41" s="337">
        <v>5529.5</v>
      </c>
      <c r="R41" s="337">
        <v>5650.7999999999993</v>
      </c>
      <c r="S41" s="425">
        <v>5782</v>
      </c>
      <c r="T41" s="337">
        <v>5951.5</v>
      </c>
      <c r="U41" s="337">
        <v>6194.5999999999995</v>
      </c>
      <c r="V41" s="338">
        <v>6413.7</v>
      </c>
      <c r="W41" s="425">
        <v>6751.1</v>
      </c>
      <c r="X41" s="337">
        <v>6978.8</v>
      </c>
      <c r="Y41" s="337">
        <f t="shared" ref="Y41:AG41" si="53">Y19</f>
        <v>7424.9</v>
      </c>
      <c r="Z41" s="338">
        <f t="shared" si="53"/>
        <v>8133.7999999999993</v>
      </c>
      <c r="AA41" s="425">
        <f t="shared" si="53"/>
        <v>8236.5</v>
      </c>
      <c r="AB41" s="337">
        <f t="shared" si="53"/>
        <v>8131.2</v>
      </c>
      <c r="AC41" s="337">
        <f t="shared" si="53"/>
        <v>8269.2000000000007</v>
      </c>
      <c r="AD41" s="338">
        <f>AD19</f>
        <v>8626.2999999999993</v>
      </c>
      <c r="AE41" s="337">
        <f>AE19</f>
        <v>8885.5999999999985</v>
      </c>
      <c r="AF41" s="337">
        <f>AF19</f>
        <v>9158.6999999999989</v>
      </c>
      <c r="AG41" s="337">
        <f t="shared" si="53"/>
        <v>9931.5999999999985</v>
      </c>
      <c r="AH41" s="337">
        <f t="shared" ref="AH41:AS41" si="54">AH19</f>
        <v>10454</v>
      </c>
      <c r="AI41" s="425">
        <f t="shared" si="54"/>
        <v>10229.5</v>
      </c>
      <c r="AJ41" s="337">
        <f t="shared" si="54"/>
        <v>9556.1</v>
      </c>
      <c r="AK41" s="337">
        <f t="shared" si="54"/>
        <v>10301.799999999999</v>
      </c>
      <c r="AL41" s="338">
        <f t="shared" si="54"/>
        <v>10677.899999999998</v>
      </c>
      <c r="AM41" s="425">
        <f t="shared" si="54"/>
        <v>10667.7</v>
      </c>
      <c r="AN41" s="337">
        <f t="shared" si="54"/>
        <v>10810.099999999999</v>
      </c>
      <c r="AO41" s="337">
        <f t="shared" si="54"/>
        <v>10976.7</v>
      </c>
      <c r="AP41" s="338">
        <f>AP19</f>
        <v>10474.9</v>
      </c>
      <c r="AQ41" s="425">
        <f>AQ19</f>
        <v>10787.3</v>
      </c>
      <c r="AR41" s="337">
        <f>AR19</f>
        <v>11154.1</v>
      </c>
      <c r="AS41" s="337">
        <f t="shared" si="54"/>
        <v>11486.199999999997</v>
      </c>
      <c r="AT41" s="338">
        <f t="shared" ref="AT41:AY41" si="55">AT19</f>
        <v>11534.3</v>
      </c>
      <c r="AU41" s="425">
        <f t="shared" si="55"/>
        <v>12058.9</v>
      </c>
      <c r="AV41" s="337">
        <f t="shared" si="55"/>
        <v>11875.899999999998</v>
      </c>
      <c r="AW41" s="337">
        <f t="shared" si="55"/>
        <v>12147.800000000001</v>
      </c>
      <c r="AX41" s="426">
        <f t="shared" si="55"/>
        <v>13321.600000000004</v>
      </c>
      <c r="AY41" s="427">
        <f t="shared" si="55"/>
        <v>13413.3</v>
      </c>
      <c r="AZ41" s="337">
        <f t="shared" ref="AZ41:BA41" si="56">AZ19</f>
        <v>14219.8</v>
      </c>
      <c r="BA41" s="337">
        <f t="shared" si="56"/>
        <v>15262.7</v>
      </c>
      <c r="BB41" s="337">
        <f t="shared" ref="BB41:BC41" si="57">BB19</f>
        <v>15223.3</v>
      </c>
      <c r="BC41" s="425">
        <f t="shared" si="57"/>
        <v>17341</v>
      </c>
      <c r="BD41" s="337">
        <f t="shared" ref="BD41:BE41" si="58">BD19</f>
        <v>18235.5</v>
      </c>
      <c r="BE41" s="337">
        <f t="shared" si="58"/>
        <v>18595.800000000003</v>
      </c>
      <c r="BF41" s="337">
        <f t="shared" ref="BF41" si="59">BF19</f>
        <v>18618.300000000003</v>
      </c>
    </row>
    <row r="42" spans="1:58" s="418" customFormat="1" ht="11.25">
      <c r="A42" s="411" t="s">
        <v>312</v>
      </c>
      <c r="B42" s="411" t="s">
        <v>148</v>
      </c>
      <c r="C42" s="500">
        <f t="shared" ref="C42:X42" si="60">+C41/C40*1000000</f>
        <v>29.9946195234435</v>
      </c>
      <c r="D42" s="498">
        <f t="shared" si="60"/>
        <v>27.84012298232129</v>
      </c>
      <c r="E42" s="498">
        <f t="shared" si="60"/>
        <v>29.365103766333586</v>
      </c>
      <c r="F42" s="499">
        <f t="shared" si="60"/>
        <v>29.5065334358186</v>
      </c>
      <c r="G42" s="498">
        <f t="shared" si="60"/>
        <v>30.850883935434279</v>
      </c>
      <c r="H42" s="498">
        <f t="shared" si="60"/>
        <v>30.573405073020748</v>
      </c>
      <c r="I42" s="498">
        <f t="shared" si="60"/>
        <v>32.881629515757105</v>
      </c>
      <c r="J42" s="498">
        <f t="shared" si="60"/>
        <v>32.453497309761723</v>
      </c>
      <c r="K42" s="500">
        <f t="shared" si="60"/>
        <v>32.904688700999223</v>
      </c>
      <c r="L42" s="498">
        <f t="shared" si="60"/>
        <v>34.700999231360491</v>
      </c>
      <c r="M42" s="498">
        <f t="shared" si="60"/>
        <v>36.449654112221374</v>
      </c>
      <c r="N42" s="499">
        <f t="shared" si="60"/>
        <v>37.543428132205996</v>
      </c>
      <c r="O42" s="500">
        <f t="shared" si="60"/>
        <v>39.444273635664871</v>
      </c>
      <c r="P42" s="498">
        <f t="shared" si="60"/>
        <v>40.585703305149885</v>
      </c>
      <c r="Q42" s="498">
        <f t="shared" si="60"/>
        <v>42.501921598770174</v>
      </c>
      <c r="R42" s="498">
        <f t="shared" si="60"/>
        <v>43.434281322059952</v>
      </c>
      <c r="S42" s="500">
        <f t="shared" si="60"/>
        <v>44.44273635664873</v>
      </c>
      <c r="T42" s="498">
        <f t="shared" si="60"/>
        <v>45.745580322828594</v>
      </c>
      <c r="U42" s="498">
        <f t="shared" si="60"/>
        <v>47.614142966948499</v>
      </c>
      <c r="V42" s="499">
        <f t="shared" si="60"/>
        <v>49.298232129131435</v>
      </c>
      <c r="W42" s="500">
        <f t="shared" si="60"/>
        <v>51.89162182936203</v>
      </c>
      <c r="X42" s="498">
        <f t="shared" si="60"/>
        <v>53.641813989239047</v>
      </c>
      <c r="Y42" s="498">
        <f t="shared" ref="Y42:AG42" si="61">+Y41/Y40*1000000</f>
        <v>57.070714834742503</v>
      </c>
      <c r="Z42" s="499">
        <f t="shared" si="61"/>
        <v>62.519600307455789</v>
      </c>
      <c r="AA42" s="500">
        <f t="shared" si="61"/>
        <v>63.308993082244434</v>
      </c>
      <c r="AB42" s="498">
        <f t="shared" si="61"/>
        <v>62.499615680245959</v>
      </c>
      <c r="AC42" s="498">
        <f t="shared" si="61"/>
        <v>63.560338201383558</v>
      </c>
      <c r="AD42" s="499">
        <f>+AD41/AD40*1000000</f>
        <v>66.305149884704065</v>
      </c>
      <c r="AE42" s="498">
        <f>+AE41/AE40*1000000</f>
        <v>68.298232129131435</v>
      </c>
      <c r="AF42" s="498">
        <f>+AF41/AF40*1000000</f>
        <v>70.397386625672553</v>
      </c>
      <c r="AG42" s="498">
        <f t="shared" si="61"/>
        <v>76.338201383551095</v>
      </c>
      <c r="AH42" s="498">
        <f t="shared" ref="AH42:AS42" si="62">+AH41/AH40*1000000</f>
        <v>80.353574173712531</v>
      </c>
      <c r="AI42" s="500">
        <f t="shared" si="62"/>
        <v>78.62797847809378</v>
      </c>
      <c r="AJ42" s="498">
        <f t="shared" si="62"/>
        <v>73.451960030745582</v>
      </c>
      <c r="AK42" s="498">
        <f t="shared" si="62"/>
        <v>79.183704842428895</v>
      </c>
      <c r="AL42" s="499">
        <f t="shared" si="62"/>
        <v>82.074558032282852</v>
      </c>
      <c r="AM42" s="500">
        <f t="shared" si="62"/>
        <v>81.996156802459652</v>
      </c>
      <c r="AN42" s="498">
        <f t="shared" si="62"/>
        <v>83.09069946195234</v>
      </c>
      <c r="AO42" s="498">
        <f t="shared" si="62"/>
        <v>84.371252882398167</v>
      </c>
      <c r="AP42" s="499">
        <f>+AP41/AP40*1000000</f>
        <v>80.514219830899307</v>
      </c>
      <c r="AQ42" s="500">
        <f>+AQ41/AQ40*1000000</f>
        <v>82.915449654112223</v>
      </c>
      <c r="AR42" s="498">
        <f>+AR41/AR40*1000000</f>
        <v>85.734819369715609</v>
      </c>
      <c r="AS42" s="498">
        <f t="shared" si="62"/>
        <v>88.287471176018428</v>
      </c>
      <c r="AT42" s="499">
        <f t="shared" ref="AT42:AY42" si="63">+AT41/AT40*1000000</f>
        <v>88.657186779400462</v>
      </c>
      <c r="AU42" s="500">
        <f t="shared" si="63"/>
        <v>92.689469638739425</v>
      </c>
      <c r="AV42" s="498">
        <f t="shared" si="63"/>
        <v>91.282859338969999</v>
      </c>
      <c r="AW42" s="498">
        <f t="shared" si="63"/>
        <v>93.372790161414301</v>
      </c>
      <c r="AX42" s="502">
        <f t="shared" si="63"/>
        <v>102.39508070714837</v>
      </c>
      <c r="AY42" s="503">
        <f t="shared" si="63"/>
        <v>103.0999231360492</v>
      </c>
      <c r="AZ42" s="498">
        <f t="shared" ref="AZ42:BA42" si="64">+AZ41/AZ40*1000000</f>
        <v>109.2990007686395</v>
      </c>
      <c r="BA42" s="498">
        <f t="shared" si="64"/>
        <v>117.31514219830899</v>
      </c>
      <c r="BB42" s="498">
        <f t="shared" ref="BB42:BC42" si="65">+BB41/BB40*1000000</f>
        <v>117.01229823212913</v>
      </c>
      <c r="BC42" s="500">
        <f t="shared" si="65"/>
        <v>133.28977709454267</v>
      </c>
      <c r="BD42" s="498">
        <f t="shared" ref="BD42:BE42" si="66">+BD41/BD40*1000000</f>
        <v>140.16525749423519</v>
      </c>
      <c r="BE42" s="498">
        <f t="shared" si="66"/>
        <v>142.93466564181401</v>
      </c>
      <c r="BF42" s="498">
        <f t="shared" ref="BF42" si="67">+BF41/BF40*1000000</f>
        <v>143.10760953112992</v>
      </c>
    </row>
    <row r="43" spans="1:58" s="418" customFormat="1" ht="11.25">
      <c r="A43" s="411" t="s">
        <v>297</v>
      </c>
      <c r="B43" s="411" t="s">
        <v>137</v>
      </c>
      <c r="C43" s="500">
        <f t="shared" ref="C43:X43" si="68">(C10/C40)*1000000</f>
        <v>1.2867025365103772</v>
      </c>
      <c r="D43" s="498">
        <f t="shared" si="68"/>
        <v>1.2897770945426608</v>
      </c>
      <c r="E43" s="498">
        <f t="shared" si="68"/>
        <v>1.5219062259800151</v>
      </c>
      <c r="F43" s="499">
        <f t="shared" si="68"/>
        <v>0.74942352036894633</v>
      </c>
      <c r="G43" s="498">
        <f t="shared" si="68"/>
        <v>1.3358954650269033</v>
      </c>
      <c r="H43" s="498">
        <f t="shared" si="68"/>
        <v>1.7963105303612599</v>
      </c>
      <c r="I43" s="498">
        <f t="shared" si="68"/>
        <v>1.2828593389700236</v>
      </c>
      <c r="J43" s="498">
        <f t="shared" si="68"/>
        <v>-0.99154496541122195</v>
      </c>
      <c r="K43" s="500">
        <f t="shared" si="68"/>
        <v>0.62106072252113664</v>
      </c>
      <c r="L43" s="498">
        <f t="shared" si="68"/>
        <v>1.4043043812451959</v>
      </c>
      <c r="M43" s="498">
        <f t="shared" si="68"/>
        <v>1.6202920830130665</v>
      </c>
      <c r="N43" s="499">
        <f t="shared" si="68"/>
        <v>0.92851652574942278</v>
      </c>
      <c r="O43" s="500">
        <f t="shared" si="68"/>
        <v>1.3643351268255186</v>
      </c>
      <c r="P43" s="498">
        <f t="shared" si="68"/>
        <v>1.471944657955419</v>
      </c>
      <c r="Q43" s="498">
        <f t="shared" si="68"/>
        <v>1.4788624135280544</v>
      </c>
      <c r="R43" s="498">
        <f t="shared" si="68"/>
        <v>1.4734819369715602</v>
      </c>
      <c r="S43" s="500">
        <f t="shared" si="68"/>
        <v>1.6333589546502687</v>
      </c>
      <c r="T43" s="498">
        <f t="shared" si="68"/>
        <v>1.7978478093774015</v>
      </c>
      <c r="U43" s="498">
        <f t="shared" si="68"/>
        <v>1.691775557263643</v>
      </c>
      <c r="V43" s="499">
        <f t="shared" si="68"/>
        <v>1.6418139892390471</v>
      </c>
      <c r="W43" s="500">
        <f t="shared" si="68"/>
        <v>2.0868562644119915</v>
      </c>
      <c r="X43" s="498">
        <f t="shared" si="68"/>
        <v>1.2882398155265178</v>
      </c>
      <c r="Y43" s="498">
        <f t="shared" ref="Y43:AG43" si="69">(Y10/Y40)*1000000</f>
        <v>1.5618754803996913</v>
      </c>
      <c r="Z43" s="499">
        <f t="shared" si="69"/>
        <v>1.4604150653343584</v>
      </c>
      <c r="AA43" s="500">
        <f t="shared" si="69"/>
        <v>1.9961568024596461</v>
      </c>
      <c r="AB43" s="498">
        <f t="shared" si="69"/>
        <v>1.66717909300538</v>
      </c>
      <c r="AC43" s="498">
        <f t="shared" si="69"/>
        <v>1.8016910069177574</v>
      </c>
      <c r="AD43" s="499">
        <f t="shared" si="69"/>
        <v>1.9254419677171406</v>
      </c>
      <c r="AE43" s="498">
        <f t="shared" si="69"/>
        <v>1.9569561875480384</v>
      </c>
      <c r="AF43" s="498">
        <f t="shared" si="69"/>
        <v>2.1698693312836279</v>
      </c>
      <c r="AG43" s="498">
        <f t="shared" si="69"/>
        <v>2.0983858570330529</v>
      </c>
      <c r="AH43" s="498">
        <f t="shared" ref="AH43:AS43" si="70">(AH10/AH40)*1000000</f>
        <v>1.7740199846272096</v>
      </c>
      <c r="AI43" s="500">
        <f t="shared" si="70"/>
        <v>2.0061491160645657</v>
      </c>
      <c r="AJ43" s="498">
        <f t="shared" si="70"/>
        <v>2.6487317448116836</v>
      </c>
      <c r="AK43" s="498">
        <f t="shared" si="70"/>
        <v>2.4265949269792468</v>
      </c>
      <c r="AL43" s="499">
        <f t="shared" si="70"/>
        <v>1.5810914681014605</v>
      </c>
      <c r="AM43" s="500">
        <f t="shared" si="70"/>
        <v>1.9923136049192927</v>
      </c>
      <c r="AN43" s="498">
        <f t="shared" si="70"/>
        <v>3.1275941583397393</v>
      </c>
      <c r="AO43" s="498">
        <f t="shared" si="70"/>
        <v>2.551883166794775</v>
      </c>
      <c r="AP43" s="499">
        <f>(AP10/AP40)*1000000</f>
        <v>1.959262106072251</v>
      </c>
      <c r="AQ43" s="500">
        <f>(AQ10/AQ40)*1000000</f>
        <v>2.3082244427363565</v>
      </c>
      <c r="AR43" s="498">
        <f>(AR10/AR40)*1000000</f>
        <v>2.7694081475787851</v>
      </c>
      <c r="AS43" s="498">
        <f t="shared" si="70"/>
        <v>2.8877786318216727</v>
      </c>
      <c r="AT43" s="499">
        <f t="shared" ref="AT43:AY43" si="71">(AT10/AT40)*1000000</f>
        <v>2.8193697156033837</v>
      </c>
      <c r="AU43" s="500">
        <f t="shared" si="71"/>
        <v>2.4765564950038419</v>
      </c>
      <c r="AV43" s="498">
        <f t="shared" si="71"/>
        <v>2.85703305149885</v>
      </c>
      <c r="AW43" s="498">
        <f t="shared" si="71"/>
        <v>2.9077632590315128</v>
      </c>
      <c r="AX43" s="502">
        <f t="shared" si="71"/>
        <v>3.4711760184473501</v>
      </c>
      <c r="AY43" s="503">
        <f t="shared" si="71"/>
        <v>2.4942352036894713</v>
      </c>
      <c r="AZ43" s="498">
        <f t="shared" ref="AZ43:BA43" si="72">(AZ10/AZ40)*1000000</f>
        <v>3.6056879323597211</v>
      </c>
      <c r="BA43" s="498">
        <f t="shared" si="72"/>
        <v>3.188316679477325</v>
      </c>
      <c r="BB43" s="498">
        <f t="shared" ref="BB43:BC43" si="73">(BB10/BB40)*1000000</f>
        <v>3.4611837048424272</v>
      </c>
      <c r="BC43" s="500">
        <f t="shared" si="73"/>
        <v>2.0545734050730204</v>
      </c>
      <c r="BD43" s="498">
        <f t="shared" ref="BD43:BE43" si="74">(BD10/BD40)*1000000</f>
        <v>2.4304381245196032</v>
      </c>
      <c r="BE43" s="498">
        <f t="shared" si="74"/>
        <v>3.3835511145272901</v>
      </c>
      <c r="BF43" s="498">
        <f t="shared" ref="BF43" si="75">(BF10/BF40)*1000000</f>
        <v>2.4127594158339756</v>
      </c>
    </row>
    <row r="44" spans="1:58" s="418" customFormat="1" ht="11.25">
      <c r="A44" s="411" t="s">
        <v>313</v>
      </c>
      <c r="B44" s="411" t="s">
        <v>143</v>
      </c>
      <c r="C44" s="425">
        <f>(+C45*C40)/1000000</f>
        <v>9887.6</v>
      </c>
      <c r="D44" s="337">
        <f>+(D45*D40)/1000000</f>
        <v>13049.03</v>
      </c>
      <c r="E44" s="337">
        <f>(+E45*E40)/1000000</f>
        <v>11839.1</v>
      </c>
      <c r="F44" s="338">
        <f>(+F45*F40)/1000000</f>
        <v>9432.25</v>
      </c>
      <c r="G44" s="337">
        <f>(+G45*G40)/1000000</f>
        <v>6895.3</v>
      </c>
      <c r="H44" s="337">
        <f>+(H45*H40)/1000000</f>
        <v>5399.15</v>
      </c>
      <c r="I44" s="337">
        <f>(+I45*I40)/1000000</f>
        <v>6648.11</v>
      </c>
      <c r="J44" s="337">
        <f>(+J45*J40)/1000000</f>
        <v>5594.3</v>
      </c>
      <c r="K44" s="425">
        <f>(+K45*K40)/1000000</f>
        <v>2758.12</v>
      </c>
      <c r="L44" s="337">
        <f>+(L45*L40)/1000000</f>
        <v>4566.51</v>
      </c>
      <c r="M44" s="337">
        <f>(+M45*M40)/1000000</f>
        <v>8326.4</v>
      </c>
      <c r="N44" s="338">
        <f>(+N45*N40)/1000000</f>
        <v>10147.799999999999</v>
      </c>
      <c r="O44" s="425">
        <f>(+O45*O40)/1000000</f>
        <v>9705.4599999999991</v>
      </c>
      <c r="P44" s="337">
        <f>+(P45*P40)/1000000</f>
        <v>9822.5499999999993</v>
      </c>
      <c r="Q44" s="337">
        <f>(+Q45*Q40)/1000000</f>
        <v>10733.25</v>
      </c>
      <c r="R44" s="337">
        <f>(+R45*R40)/1000000</f>
        <v>11630.94</v>
      </c>
      <c r="S44" s="425">
        <f>(+S45*S40)/1000000</f>
        <v>11630.94</v>
      </c>
      <c r="T44" s="337">
        <f>+(T45*T40)/1000000</f>
        <v>11227.63</v>
      </c>
      <c r="U44" s="337">
        <f t="shared" ref="U44:Z44" si="76">(+U45*U40)/1000000</f>
        <v>9627.4</v>
      </c>
      <c r="V44" s="338">
        <f t="shared" si="76"/>
        <v>10225.86</v>
      </c>
      <c r="W44" s="425">
        <f t="shared" si="76"/>
        <v>11500.84</v>
      </c>
      <c r="X44" s="337">
        <f t="shared" si="76"/>
        <v>10616.16</v>
      </c>
      <c r="Y44" s="337">
        <f t="shared" si="76"/>
        <v>10941.41</v>
      </c>
      <c r="Z44" s="338">
        <f t="shared" si="76"/>
        <v>11839.1</v>
      </c>
      <c r="AA44" s="425">
        <f t="shared" ref="AA44:AG44" si="77">(+AA45*AA40)/1000000</f>
        <v>11813.08</v>
      </c>
      <c r="AB44" s="337">
        <f t="shared" si="77"/>
        <v>12315.266</v>
      </c>
      <c r="AC44" s="337">
        <f t="shared" si="77"/>
        <v>14571.2</v>
      </c>
      <c r="AD44" s="338">
        <f t="shared" si="77"/>
        <v>14746.834999999999</v>
      </c>
      <c r="AE44" s="337">
        <f t="shared" si="77"/>
        <v>17238.25</v>
      </c>
      <c r="AF44" s="337">
        <f t="shared" si="77"/>
        <v>17251.259999999998</v>
      </c>
      <c r="AG44" s="337">
        <f t="shared" si="77"/>
        <v>19254.8</v>
      </c>
      <c r="AH44" s="337">
        <f t="shared" ref="AH44:AS44" si="78">(+AH45*AH40)/1000000</f>
        <v>18200.990000000002</v>
      </c>
      <c r="AI44" s="425">
        <f t="shared" si="78"/>
        <v>17797.68</v>
      </c>
      <c r="AJ44" s="337">
        <f t="shared" si="78"/>
        <v>16522.7</v>
      </c>
      <c r="AK44" s="337">
        <f t="shared" si="78"/>
        <v>15507.92</v>
      </c>
      <c r="AL44" s="338">
        <f t="shared" si="78"/>
        <v>15241.215</v>
      </c>
      <c r="AM44" s="425">
        <f t="shared" si="78"/>
        <v>15742.1</v>
      </c>
      <c r="AN44" s="337">
        <f t="shared" si="78"/>
        <v>16060.844999999999</v>
      </c>
      <c r="AO44" s="337">
        <f t="shared" si="78"/>
        <v>19254.8</v>
      </c>
      <c r="AP44" s="338">
        <f>(+AP45*AP40)/1000000</f>
        <v>20998.14</v>
      </c>
      <c r="AQ44" s="425">
        <f>(+AQ45*AQ40)/1000000</f>
        <v>22390.21</v>
      </c>
      <c r="AR44" s="337">
        <f>(+AR45*AR40)/1000000</f>
        <v>23730.240000000002</v>
      </c>
      <c r="AS44" s="337">
        <f t="shared" si="78"/>
        <v>26605.45</v>
      </c>
      <c r="AT44" s="338">
        <f t="shared" ref="AT44:AY44" si="79">(+AT45*AT40)/1000000</f>
        <v>26748.560000000001</v>
      </c>
      <c r="AU44" s="425">
        <f t="shared" si="79"/>
        <v>25603.68</v>
      </c>
      <c r="AV44" s="337">
        <f t="shared" si="79"/>
        <v>23287.9</v>
      </c>
      <c r="AW44" s="337">
        <f t="shared" si="79"/>
        <v>23782.28</v>
      </c>
      <c r="AX44" s="426">
        <f t="shared" si="79"/>
        <v>23418</v>
      </c>
      <c r="AY44" s="427">
        <f t="shared" si="79"/>
        <v>24981.802</v>
      </c>
      <c r="AZ44" s="337">
        <f t="shared" ref="AZ44:BA44" si="80">(+AZ45*AZ40)/1000000</f>
        <v>26280.2</v>
      </c>
      <c r="BA44" s="337">
        <f t="shared" si="80"/>
        <v>25941.94</v>
      </c>
      <c r="BB44" s="337">
        <f t="shared" ref="BB44:BC44" si="81">(+BB45*BB40)/1000000</f>
        <v>26345.25</v>
      </c>
      <c r="BC44" s="425">
        <f t="shared" si="81"/>
        <v>19358.88</v>
      </c>
      <c r="BD44" s="337">
        <f t="shared" ref="BD44:BE44" si="82">(+BD45*BD40)/1000000</f>
        <v>18500.22</v>
      </c>
      <c r="BE44" s="337">
        <f t="shared" si="82"/>
        <v>16002.3</v>
      </c>
      <c r="BF44" s="337">
        <f t="shared" ref="BF44" si="83">(+BF45*BF40)/1000000</f>
        <v>22247.1</v>
      </c>
    </row>
    <row r="45" spans="1:58" s="418" customFormat="1" ht="11.25">
      <c r="A45" s="411" t="s">
        <v>311</v>
      </c>
      <c r="B45" s="411" t="s">
        <v>146</v>
      </c>
      <c r="C45" s="425">
        <v>76</v>
      </c>
      <c r="D45" s="337">
        <v>100.3</v>
      </c>
      <c r="E45" s="337">
        <v>91</v>
      </c>
      <c r="F45" s="338">
        <v>72.5</v>
      </c>
      <c r="G45" s="337">
        <v>53</v>
      </c>
      <c r="H45" s="337">
        <v>41.5</v>
      </c>
      <c r="I45" s="337">
        <v>51.1</v>
      </c>
      <c r="J45" s="338">
        <v>43</v>
      </c>
      <c r="K45" s="425">
        <v>21.2</v>
      </c>
      <c r="L45" s="337">
        <v>35.1</v>
      </c>
      <c r="M45" s="337">
        <v>64</v>
      </c>
      <c r="N45" s="338">
        <v>78</v>
      </c>
      <c r="O45" s="425">
        <v>74.599999999999994</v>
      </c>
      <c r="P45" s="337">
        <v>75.5</v>
      </c>
      <c r="Q45" s="337">
        <v>82.5</v>
      </c>
      <c r="R45" s="338">
        <v>89.4</v>
      </c>
      <c r="S45" s="425">
        <v>89.4</v>
      </c>
      <c r="T45" s="337">
        <v>86.3</v>
      </c>
      <c r="U45" s="337">
        <v>74</v>
      </c>
      <c r="V45" s="338">
        <v>78.599999999999994</v>
      </c>
      <c r="W45" s="425">
        <v>88.4</v>
      </c>
      <c r="X45" s="337">
        <v>81.599999999999994</v>
      </c>
      <c r="Y45" s="337">
        <v>84.1</v>
      </c>
      <c r="Z45" s="338">
        <v>91</v>
      </c>
      <c r="AA45" s="425">
        <v>90.8</v>
      </c>
      <c r="AB45" s="337">
        <v>94.66</v>
      </c>
      <c r="AC45" s="337">
        <v>112</v>
      </c>
      <c r="AD45" s="338">
        <v>113.35</v>
      </c>
      <c r="AE45" s="337">
        <v>132.5</v>
      </c>
      <c r="AF45" s="337">
        <v>132.6</v>
      </c>
      <c r="AG45" s="337">
        <v>148</v>
      </c>
      <c r="AH45" s="337">
        <v>139.9</v>
      </c>
      <c r="AI45" s="425">
        <v>136.80000000000001</v>
      </c>
      <c r="AJ45" s="337">
        <v>127</v>
      </c>
      <c r="AK45" s="337">
        <v>119.2</v>
      </c>
      <c r="AL45" s="338">
        <v>117.15</v>
      </c>
      <c r="AM45" s="425">
        <v>121</v>
      </c>
      <c r="AN45" s="337">
        <v>123.45</v>
      </c>
      <c r="AO45" s="337">
        <v>148</v>
      </c>
      <c r="AP45" s="338">
        <v>161.4</v>
      </c>
      <c r="AQ45" s="425">
        <v>172.1</v>
      </c>
      <c r="AR45" s="337">
        <v>182.4</v>
      </c>
      <c r="AS45" s="337">
        <v>204.5</v>
      </c>
      <c r="AT45" s="338">
        <v>205.6</v>
      </c>
      <c r="AU45" s="425">
        <v>196.8</v>
      </c>
      <c r="AV45" s="337">
        <v>179</v>
      </c>
      <c r="AW45" s="337">
        <v>182.8</v>
      </c>
      <c r="AX45" s="426">
        <v>180</v>
      </c>
      <c r="AY45" s="427">
        <v>192.02</v>
      </c>
      <c r="AZ45" s="337">
        <v>202</v>
      </c>
      <c r="BA45" s="337">
        <v>199.4</v>
      </c>
      <c r="BB45" s="337">
        <v>202.5</v>
      </c>
      <c r="BC45" s="425">
        <v>148.80000000000001</v>
      </c>
      <c r="BD45" s="337">
        <v>142.19999999999999</v>
      </c>
      <c r="BE45" s="337">
        <v>123</v>
      </c>
      <c r="BF45" s="337">
        <v>171</v>
      </c>
    </row>
    <row r="46" spans="1:58" s="418" customFormat="1" ht="11.25">
      <c r="A46" s="411"/>
      <c r="B46" s="411"/>
      <c r="C46" s="414"/>
      <c r="D46" s="415"/>
      <c r="E46" s="415"/>
      <c r="F46" s="416"/>
      <c r="G46" s="415"/>
      <c r="H46" s="415"/>
      <c r="I46" s="415"/>
      <c r="J46" s="416"/>
      <c r="K46" s="414"/>
      <c r="L46" s="415"/>
      <c r="M46" s="415"/>
      <c r="N46" s="416"/>
      <c r="O46" s="414"/>
      <c r="P46" s="415"/>
      <c r="Q46" s="415"/>
      <c r="R46" s="416"/>
      <c r="S46" s="414"/>
      <c r="T46" s="415"/>
      <c r="U46" s="415"/>
      <c r="V46" s="416"/>
      <c r="W46" s="414"/>
      <c r="X46" s="415"/>
      <c r="Y46" s="415"/>
      <c r="Z46" s="416"/>
      <c r="AA46" s="414"/>
      <c r="AB46" s="415"/>
      <c r="AC46" s="415"/>
      <c r="AD46" s="416"/>
      <c r="AE46" s="415"/>
      <c r="AF46" s="415"/>
      <c r="AG46" s="415"/>
      <c r="AH46" s="415"/>
      <c r="AI46" s="414"/>
      <c r="AJ46" s="415"/>
      <c r="AK46" s="415"/>
      <c r="AL46" s="416"/>
      <c r="AM46" s="414"/>
      <c r="AN46" s="415"/>
      <c r="AO46" s="415"/>
      <c r="AP46" s="416"/>
      <c r="AQ46" s="414"/>
      <c r="AR46" s="415"/>
      <c r="AS46" s="415"/>
      <c r="AT46" s="416"/>
      <c r="AU46" s="414"/>
      <c r="AV46" s="415"/>
      <c r="AW46" s="415"/>
      <c r="AX46" s="422"/>
      <c r="AY46" s="423"/>
      <c r="AZ46" s="337"/>
      <c r="BA46" s="337"/>
      <c r="BB46" s="337"/>
      <c r="BC46" s="414"/>
      <c r="BD46" s="337"/>
      <c r="BE46" s="337"/>
      <c r="BF46" s="337"/>
    </row>
    <row r="47" spans="1:58" s="418" customFormat="1" ht="11.25">
      <c r="A47" s="421" t="s">
        <v>308</v>
      </c>
      <c r="B47" s="421" t="s">
        <v>147</v>
      </c>
      <c r="C47" s="414"/>
      <c r="D47" s="415"/>
      <c r="E47" s="415"/>
      <c r="F47" s="416"/>
      <c r="G47" s="415"/>
      <c r="H47" s="415"/>
      <c r="I47" s="415"/>
      <c r="J47" s="416"/>
      <c r="K47" s="414"/>
      <c r="L47" s="415"/>
      <c r="M47" s="415"/>
      <c r="N47" s="416"/>
      <c r="O47" s="414"/>
      <c r="P47" s="415"/>
      <c r="Q47" s="415"/>
      <c r="R47" s="416"/>
      <c r="S47" s="414"/>
      <c r="T47" s="415"/>
      <c r="U47" s="415"/>
      <c r="V47" s="416"/>
      <c r="W47" s="414"/>
      <c r="X47" s="415"/>
      <c r="Y47" s="415"/>
      <c r="Z47" s="416"/>
      <c r="AA47" s="414"/>
      <c r="AB47" s="415"/>
      <c r="AC47" s="415"/>
      <c r="AD47" s="416"/>
      <c r="AE47" s="415"/>
      <c r="AF47" s="415"/>
      <c r="AG47" s="415"/>
      <c r="AH47" s="415"/>
      <c r="AI47" s="414"/>
      <c r="AJ47" s="415"/>
      <c r="AK47" s="415"/>
      <c r="AL47" s="416"/>
      <c r="AM47" s="414"/>
      <c r="AN47" s="415"/>
      <c r="AO47" s="415"/>
      <c r="AP47" s="416"/>
      <c r="AQ47" s="414"/>
      <c r="AR47" s="415"/>
      <c r="AS47" s="415"/>
      <c r="AT47" s="416"/>
      <c r="AU47" s="414"/>
      <c r="AV47" s="415"/>
      <c r="AW47" s="415"/>
      <c r="AX47" s="419"/>
      <c r="AY47" s="423"/>
      <c r="AZ47" s="415"/>
      <c r="BA47" s="415"/>
      <c r="BB47" s="415"/>
      <c r="BC47" s="414"/>
      <c r="BD47" s="415"/>
      <c r="BE47" s="415"/>
      <c r="BF47" s="415"/>
    </row>
    <row r="48" spans="1:58" s="418" customFormat="1" ht="11.25">
      <c r="A48" s="411" t="s">
        <v>295</v>
      </c>
      <c r="B48" s="411" t="s">
        <v>837</v>
      </c>
      <c r="C48" s="414">
        <v>2089</v>
      </c>
      <c r="D48" s="415">
        <v>2133</v>
      </c>
      <c r="E48" s="415">
        <v>2213</v>
      </c>
      <c r="F48" s="416">
        <v>2257</v>
      </c>
      <c r="G48" s="415">
        <v>2343</v>
      </c>
      <c r="H48" s="415">
        <v>2411</v>
      </c>
      <c r="I48" s="415">
        <v>2525</v>
      </c>
      <c r="J48" s="416">
        <v>2598</v>
      </c>
      <c r="K48" s="414">
        <v>2632</v>
      </c>
      <c r="L48" s="415">
        <v>2673</v>
      </c>
      <c r="M48" s="415">
        <v>2705</v>
      </c>
      <c r="N48" s="416">
        <v>2761</v>
      </c>
      <c r="O48" s="414">
        <v>2805</v>
      </c>
      <c r="P48" s="415">
        <v>2858</v>
      </c>
      <c r="Q48" s="415">
        <v>2917</v>
      </c>
      <c r="R48" s="416">
        <v>2969</v>
      </c>
      <c r="S48" s="414">
        <v>3000</v>
      </c>
      <c r="T48" s="415">
        <v>3028</v>
      </c>
      <c r="U48" s="415">
        <v>3046</v>
      </c>
      <c r="V48" s="416">
        <v>3073</v>
      </c>
      <c r="W48" s="414">
        <v>3123</v>
      </c>
      <c r="X48" s="415">
        <v>3145</v>
      </c>
      <c r="Y48" s="415">
        <v>3199</v>
      </c>
      <c r="Z48" s="416">
        <v>3236</v>
      </c>
      <c r="AA48" s="414">
        <v>3268</v>
      </c>
      <c r="AB48" s="415">
        <v>3316</v>
      </c>
      <c r="AC48" s="415">
        <v>3347</v>
      </c>
      <c r="AD48" s="416">
        <v>3542</v>
      </c>
      <c r="AE48" s="414">
        <v>3546</v>
      </c>
      <c r="AF48" s="415">
        <v>3602</v>
      </c>
      <c r="AG48" s="415">
        <v>3668</v>
      </c>
      <c r="AH48" s="415">
        <v>3727</v>
      </c>
      <c r="AI48" s="414">
        <v>3806</v>
      </c>
      <c r="AJ48" s="415">
        <v>3883</v>
      </c>
      <c r="AK48" s="415">
        <v>3958</v>
      </c>
      <c r="AL48" s="416">
        <v>4016</v>
      </c>
      <c r="AM48" s="414">
        <v>4081</v>
      </c>
      <c r="AN48" s="415">
        <v>4149</v>
      </c>
      <c r="AO48" s="415">
        <v>4202</v>
      </c>
      <c r="AP48" s="416">
        <v>4272</v>
      </c>
      <c r="AQ48" s="414">
        <v>4329</v>
      </c>
      <c r="AR48" s="415">
        <v>4393</v>
      </c>
      <c r="AS48" s="415">
        <v>4468</v>
      </c>
      <c r="AT48" s="416">
        <v>4532</v>
      </c>
      <c r="AU48" s="414">
        <v>4610</v>
      </c>
      <c r="AV48" s="415">
        <v>4680</v>
      </c>
      <c r="AW48" s="415">
        <v>4757</v>
      </c>
      <c r="AX48" s="422">
        <v>4796</v>
      </c>
      <c r="AY48" s="423">
        <v>4483</v>
      </c>
      <c r="AZ48" s="415">
        <v>4532</v>
      </c>
      <c r="BA48" s="415">
        <v>4288</v>
      </c>
      <c r="BB48" s="415">
        <v>4049</v>
      </c>
      <c r="BC48" s="414">
        <v>4133</v>
      </c>
      <c r="BD48" s="415">
        <v>4165</v>
      </c>
      <c r="BE48" s="415">
        <v>4215</v>
      </c>
      <c r="BF48" s="415">
        <v>4236</v>
      </c>
    </row>
    <row r="49" spans="1:58" s="418" customFormat="1" ht="11.25">
      <c r="A49" s="411" t="s">
        <v>835</v>
      </c>
      <c r="B49" s="411" t="s">
        <v>836</v>
      </c>
      <c r="C49" s="414"/>
      <c r="D49" s="415"/>
      <c r="E49" s="415"/>
      <c r="F49" s="416"/>
      <c r="G49" s="415"/>
      <c r="H49" s="415"/>
      <c r="I49" s="415"/>
      <c r="J49" s="416"/>
      <c r="K49" s="414"/>
      <c r="L49" s="415"/>
      <c r="M49" s="415"/>
      <c r="N49" s="416"/>
      <c r="O49" s="414"/>
      <c r="P49" s="415"/>
      <c r="Q49" s="415"/>
      <c r="R49" s="416"/>
      <c r="S49" s="414"/>
      <c r="T49" s="415"/>
      <c r="U49" s="415"/>
      <c r="V49" s="416"/>
      <c r="W49" s="414"/>
      <c r="X49" s="415"/>
      <c r="Y49" s="415"/>
      <c r="Z49" s="416"/>
      <c r="AA49" s="414"/>
      <c r="AB49" s="415"/>
      <c r="AC49" s="415"/>
      <c r="AD49" s="416">
        <v>3577</v>
      </c>
      <c r="AE49" s="414">
        <v>3581</v>
      </c>
      <c r="AF49" s="415">
        <v>3639</v>
      </c>
      <c r="AG49" s="415">
        <v>3706</v>
      </c>
      <c r="AH49" s="415">
        <v>3766</v>
      </c>
      <c r="AI49" s="414">
        <v>3846</v>
      </c>
      <c r="AJ49" s="415">
        <v>3924</v>
      </c>
      <c r="AK49" s="415">
        <v>4001</v>
      </c>
      <c r="AL49" s="416">
        <v>4060</v>
      </c>
      <c r="AM49" s="414">
        <v>4127</v>
      </c>
      <c r="AN49" s="415">
        <v>4197</v>
      </c>
      <c r="AO49" s="415">
        <v>4251</v>
      </c>
      <c r="AP49" s="416">
        <v>4323</v>
      </c>
      <c r="AQ49" s="414">
        <v>4381</v>
      </c>
      <c r="AR49" s="415">
        <v>4448</v>
      </c>
      <c r="AS49" s="415">
        <v>4524</v>
      </c>
      <c r="AT49" s="416">
        <v>4590</v>
      </c>
      <c r="AU49" s="414">
        <v>4669</v>
      </c>
      <c r="AV49" s="415">
        <v>4741</v>
      </c>
      <c r="AW49" s="415">
        <v>4819</v>
      </c>
      <c r="AX49" s="422">
        <v>4860</v>
      </c>
      <c r="AY49" s="423">
        <v>4934</v>
      </c>
      <c r="AZ49" s="415">
        <v>4982</v>
      </c>
      <c r="BA49" s="415">
        <v>4727</v>
      </c>
      <c r="BB49" s="415">
        <v>4503</v>
      </c>
      <c r="BC49" s="414">
        <v>4606</v>
      </c>
      <c r="BD49" s="415">
        <v>4648</v>
      </c>
      <c r="BE49" s="415">
        <v>4700</v>
      </c>
      <c r="BF49" s="415">
        <v>4722</v>
      </c>
    </row>
    <row r="50" spans="1:58" s="418" customFormat="1" ht="11.25">
      <c r="A50" s="411" t="s">
        <v>287</v>
      </c>
      <c r="B50" s="411" t="s">
        <v>138</v>
      </c>
      <c r="C50" s="414">
        <f>'Pozostałe informacje_other info'!C13</f>
        <v>350</v>
      </c>
      <c r="D50" s="415">
        <f>'Pozostałe informacje_other info'!D13</f>
        <v>361</v>
      </c>
      <c r="E50" s="415">
        <f>'Pozostałe informacje_other info'!E13</f>
        <v>375</v>
      </c>
      <c r="F50" s="416">
        <f>'Pozostałe informacje_other info'!F13</f>
        <v>404</v>
      </c>
      <c r="G50" s="415">
        <f>'Pozostałe informacje_other info'!G13</f>
        <v>415</v>
      </c>
      <c r="H50" s="415">
        <f>'Pozostałe informacje_other info'!H13</f>
        <v>430</v>
      </c>
      <c r="I50" s="415">
        <f>'Pozostałe informacje_other info'!I13</f>
        <v>432</v>
      </c>
      <c r="J50" s="416">
        <f>'Pozostałe informacje_other info'!J13</f>
        <v>439</v>
      </c>
      <c r="K50" s="414">
        <f>'Pozostałe informacje_other info'!K13</f>
        <v>439</v>
      </c>
      <c r="L50" s="415">
        <f>'Pozostałe informacje_other info'!L13</f>
        <v>438</v>
      </c>
      <c r="M50" s="415">
        <f>'Pozostałe informacje_other info'!M13</f>
        <v>438</v>
      </c>
      <c r="N50" s="416">
        <f>'Pozostałe informacje_other info'!N13</f>
        <v>441</v>
      </c>
      <c r="O50" s="414">
        <f>'Pozostałe informacje_other info'!O13</f>
        <v>441</v>
      </c>
      <c r="P50" s="415">
        <f>'Pozostałe informacje_other info'!P13</f>
        <v>442</v>
      </c>
      <c r="Q50" s="415">
        <f>'Pozostałe informacje_other info'!Q13</f>
        <v>441</v>
      </c>
      <c r="R50" s="416">
        <f>'Pozostałe informacje_other info'!R13</f>
        <v>443</v>
      </c>
      <c r="S50" s="414">
        <f>'Pozostałe informacje_other info'!S13</f>
        <v>445</v>
      </c>
      <c r="T50" s="415">
        <f>'Pozostałe informacje_other info'!T13</f>
        <v>443</v>
      </c>
      <c r="U50" s="415">
        <f>'Pozostałe informacje_other info'!U13</f>
        <v>441</v>
      </c>
      <c r="V50" s="416">
        <f>'Pozostałe informacje_other info'!V13</f>
        <v>439</v>
      </c>
      <c r="W50" s="414">
        <f>'Pozostałe informacje_other info'!W13</f>
        <v>438</v>
      </c>
      <c r="X50" s="415">
        <f>'Pozostałe informacje_other info'!X13</f>
        <v>437</v>
      </c>
      <c r="Y50" s="415">
        <f>'Pozostałe informacje_other info'!Y13</f>
        <v>432</v>
      </c>
      <c r="Z50" s="416">
        <f>'Pozostałe informacje_other info'!Z13</f>
        <v>426</v>
      </c>
      <c r="AA50" s="414">
        <f>'Pozostałe informacje_other info'!AA13</f>
        <v>423</v>
      </c>
      <c r="AB50" s="415">
        <f>'Pozostałe informacje_other info'!AB13</f>
        <v>421</v>
      </c>
      <c r="AC50" s="415">
        <f>'Pozostałe informacje_other info'!AC13</f>
        <v>421</v>
      </c>
      <c r="AD50" s="416">
        <f>'Pozostałe informacje_other info'!AD13</f>
        <v>417</v>
      </c>
      <c r="AE50" s="415">
        <f>'Pozostałe informacje_other info'!AE13</f>
        <v>412</v>
      </c>
      <c r="AF50" s="415">
        <f>'Pozostałe informacje_other info'!AF13</f>
        <v>409</v>
      </c>
      <c r="AG50" s="415">
        <f>'Pozostałe informacje_other info'!AG13</f>
        <v>407</v>
      </c>
      <c r="AH50" s="415">
        <f>'Pozostałe informacje_other info'!AH13</f>
        <v>401</v>
      </c>
      <c r="AI50" s="414">
        <f>'Pozostałe informacje_other info'!AI13</f>
        <v>401</v>
      </c>
      <c r="AJ50" s="415">
        <f>'Pozostałe informacje_other info'!AJ13</f>
        <v>399</v>
      </c>
      <c r="AK50" s="415">
        <f>'Pozostałe informacje_other info'!AK13</f>
        <v>398</v>
      </c>
      <c r="AL50" s="416">
        <f>'Pozostałe informacje_other info'!AL13</f>
        <v>395</v>
      </c>
      <c r="AM50" s="414">
        <f>'Pozostałe informacje_other info'!AM13</f>
        <v>394</v>
      </c>
      <c r="AN50" s="415">
        <f>'Pozostałe informacje_other info'!AN13</f>
        <v>391</v>
      </c>
      <c r="AO50" s="415">
        <f>'Pozostałe informacje_other info'!AO13</f>
        <v>386</v>
      </c>
      <c r="AP50" s="416">
        <f>'Pozostałe informacje_other info'!AP13</f>
        <v>384</v>
      </c>
      <c r="AQ50" s="414">
        <f>'Pozostałe informacje_other info'!AQ13</f>
        <v>381</v>
      </c>
      <c r="AR50" s="415">
        <f>'Pozostałe informacje_other info'!AR13</f>
        <v>374</v>
      </c>
      <c r="AS50" s="415">
        <f>'Pozostałe informacje_other info'!AS13</f>
        <v>367</v>
      </c>
      <c r="AT50" s="416">
        <f>'Pozostałe informacje_other info'!AT13</f>
        <v>357</v>
      </c>
      <c r="AU50" s="414">
        <f>'Pozostałe informacje_other info'!AU13</f>
        <v>355</v>
      </c>
      <c r="AV50" s="415">
        <f>'Pozostałe informacje_other info'!AV13</f>
        <v>352</v>
      </c>
      <c r="AW50" s="415">
        <f>'Pozostałe informacje_other info'!AW13</f>
        <v>351</v>
      </c>
      <c r="AX50" s="422">
        <f>'Pozostałe informacje_other info'!AX13</f>
        <v>337</v>
      </c>
      <c r="AY50" s="423">
        <f>'Pozostałe informacje_other info'!AY13</f>
        <v>334</v>
      </c>
      <c r="AZ50" s="415">
        <f>'Pozostałe informacje_other info'!AZ13</f>
        <v>332</v>
      </c>
      <c r="BA50" s="415">
        <f>'Pozostałe informacje_other info'!BA13</f>
        <v>330</v>
      </c>
      <c r="BB50" s="415">
        <f>'Pozostałe informacje_other info'!BB13</f>
        <v>317</v>
      </c>
      <c r="BC50" s="414">
        <f>'Pozostałe informacje_other info'!BC13</f>
        <v>315</v>
      </c>
      <c r="BD50" s="415">
        <f>'Pozostałe informacje_other info'!BD13</f>
        <v>304</v>
      </c>
      <c r="BE50" s="415">
        <f>'Pozostałe informacje_other info'!BE13</f>
        <v>298</v>
      </c>
      <c r="BF50" s="415">
        <f>'Pozostałe informacje_other info'!BF13</f>
        <v>290</v>
      </c>
    </row>
    <row r="51" spans="1:58" s="418" customFormat="1" ht="11.25">
      <c r="A51" s="411" t="s">
        <v>296</v>
      </c>
      <c r="B51" s="411" t="s">
        <v>139</v>
      </c>
      <c r="C51" s="414">
        <f>'Pozostałe informacje_other info'!C7</f>
        <v>7578</v>
      </c>
      <c r="D51" s="415">
        <f>'Pozostałe informacje_other info'!D7</f>
        <v>7676</v>
      </c>
      <c r="E51" s="415">
        <f>'Pozostałe informacje_other info'!E7</f>
        <v>7828</v>
      </c>
      <c r="F51" s="416">
        <f>'Pozostałe informacje_other info'!F7</f>
        <v>8048</v>
      </c>
      <c r="G51" s="415">
        <f>'Pozostałe informacje_other info'!G7</f>
        <v>8137</v>
      </c>
      <c r="H51" s="415">
        <f>'Pozostałe informacje_other info'!H7</f>
        <v>8318</v>
      </c>
      <c r="I51" s="415">
        <f>'Pozostałe informacje_other info'!I7</f>
        <v>8330</v>
      </c>
      <c r="J51" s="416">
        <f>'Pozostałe informacje_other info'!J7</f>
        <v>8454</v>
      </c>
      <c r="K51" s="414">
        <f>'Pozostałe informacje_other info'!K7</f>
        <v>8368</v>
      </c>
      <c r="L51" s="415">
        <f>'Pozostałe informacje_other info'!L7</f>
        <v>8196</v>
      </c>
      <c r="M51" s="415">
        <f>'Pozostałe informacje_other info'!M7</f>
        <v>8092</v>
      </c>
      <c r="N51" s="416">
        <f>'Pozostałe informacje_other info'!N7</f>
        <v>8064</v>
      </c>
      <c r="O51" s="414">
        <f>'Pozostałe informacje_other info'!O7</f>
        <v>8084</v>
      </c>
      <c r="P51" s="415">
        <f>'Pozostałe informacje_other info'!P7</f>
        <v>8183</v>
      </c>
      <c r="Q51" s="415">
        <f>'Pozostałe informacje_other info'!Q7</f>
        <v>8366</v>
      </c>
      <c r="R51" s="416">
        <f>'Pozostałe informacje_other info'!R7</f>
        <v>8314</v>
      </c>
      <c r="S51" s="414">
        <f>'Pozostałe informacje_other info'!S7</f>
        <v>8358</v>
      </c>
      <c r="T51" s="415">
        <f>'Pozostałe informacje_other info'!T7</f>
        <v>8357</v>
      </c>
      <c r="U51" s="415">
        <f>'Pozostałe informacje_other info'!U7</f>
        <v>8212</v>
      </c>
      <c r="V51" s="416">
        <f>'Pozostałe informacje_other info'!V7</f>
        <v>8344</v>
      </c>
      <c r="W51" s="414">
        <f>'Pozostałe informacje_other info'!W7</f>
        <v>8608</v>
      </c>
      <c r="X51" s="415">
        <f>'Pozostałe informacje_other info'!X7</f>
        <v>8639</v>
      </c>
      <c r="Y51" s="415">
        <f>'Pozostałe informacje_other info'!Y7</f>
        <v>8633</v>
      </c>
      <c r="Z51" s="416">
        <f>'Pozostałe informacje_other info'!Z7</f>
        <v>8603</v>
      </c>
      <c r="AA51" s="414">
        <f>'Pozostałe informacje_other info'!AA7</f>
        <v>8569</v>
      </c>
      <c r="AB51" s="415">
        <f>'Pozostałe informacje_other info'!AB7</f>
        <v>8511</v>
      </c>
      <c r="AC51" s="415">
        <f>'Pozostałe informacje_other info'!AC7</f>
        <v>8449</v>
      </c>
      <c r="AD51" s="416">
        <f>'Pozostałe informacje_other info'!AD7</f>
        <v>8396</v>
      </c>
      <c r="AE51" s="415">
        <f>'Pozostałe informacje_other info'!AE7</f>
        <v>8327</v>
      </c>
      <c r="AF51" s="415">
        <f>'Pozostałe informacje_other info'!AF7</f>
        <v>8302</v>
      </c>
      <c r="AG51" s="415">
        <f>'Pozostałe informacje_other info'!AG7</f>
        <v>8302</v>
      </c>
      <c r="AH51" s="415">
        <f>'Pozostałe informacje_other info'!AH7</f>
        <v>8287</v>
      </c>
      <c r="AI51" s="414">
        <f>'Pozostałe informacje_other info'!AI7</f>
        <v>8332</v>
      </c>
      <c r="AJ51" s="415">
        <f>'Pozostałe informacje_other info'!AJ7</f>
        <v>8338</v>
      </c>
      <c r="AK51" s="415">
        <f>'Pozostałe informacje_other info'!AK7</f>
        <v>8314</v>
      </c>
      <c r="AL51" s="416">
        <f>'Pozostałe informacje_other info'!AL7</f>
        <v>8274</v>
      </c>
      <c r="AM51" s="414">
        <f>'Pozostałe informacje_other info'!AM7</f>
        <v>8271</v>
      </c>
      <c r="AN51" s="415">
        <f>'Pozostałe informacje_other info'!AN7</f>
        <v>8245</v>
      </c>
      <c r="AO51" s="415">
        <f>'Pozostałe informacje_other info'!AO7</f>
        <v>8179</v>
      </c>
      <c r="AP51" s="416">
        <f>'Pozostałe informacje_other info'!AP7</f>
        <v>8025</v>
      </c>
      <c r="AQ51" s="414">
        <f>'Pozostałe informacje_other info'!AQ7</f>
        <v>7966</v>
      </c>
      <c r="AR51" s="415">
        <f>'Pozostałe informacje_other info'!AR7</f>
        <v>7980</v>
      </c>
      <c r="AS51" s="415">
        <f>'Pozostałe informacje_other info'!AS7</f>
        <v>8016</v>
      </c>
      <c r="AT51" s="416">
        <f>'Pozostałe informacje_other info'!AT7</f>
        <v>8032</v>
      </c>
      <c r="AU51" s="414">
        <f>'Pozostałe informacje_other info'!AU7</f>
        <v>8082</v>
      </c>
      <c r="AV51" s="415">
        <f>'Pozostałe informacje_other info'!AV7</f>
        <v>8075</v>
      </c>
      <c r="AW51" s="415">
        <f>'Pozostałe informacje_other info'!AW7</f>
        <v>8080</v>
      </c>
      <c r="AX51" s="422">
        <f>'Pozostałe informacje_other info'!AX7</f>
        <v>8086</v>
      </c>
      <c r="AY51" s="423">
        <f>'Pozostałe informacje_other info'!AY7</f>
        <v>8115</v>
      </c>
      <c r="AZ51" s="415">
        <f>'Pozostałe informacje_other info'!AZ7</f>
        <v>8170</v>
      </c>
      <c r="BA51" s="415">
        <f>'Pozostałe informacje_other info'!BA7</f>
        <v>8113</v>
      </c>
      <c r="BB51" s="415">
        <f>'Pozostałe informacje_other info'!BB7</f>
        <v>8135</v>
      </c>
      <c r="BC51" s="414">
        <f>'Pozostałe informacje_other info'!BC7</f>
        <v>8187</v>
      </c>
      <c r="BD51" s="415">
        <f>'Pozostałe informacje_other info'!BD7</f>
        <v>8181</v>
      </c>
      <c r="BE51" s="415">
        <f>'Pozostałe informacje_other info'!BE7</f>
        <v>8290</v>
      </c>
      <c r="BF51" s="415">
        <f>'Pozostałe informacje_other info'!BF7</f>
        <v>8507</v>
      </c>
    </row>
    <row r="52" spans="1:58" s="17" customFormat="1" ht="11.25">
      <c r="A52" s="299"/>
      <c r="B52" s="299"/>
      <c r="C52" s="301"/>
      <c r="D52" s="301"/>
      <c r="E52" s="301"/>
      <c r="F52" s="301"/>
      <c r="G52" s="301"/>
      <c r="H52" s="301"/>
      <c r="I52" s="301"/>
      <c r="J52" s="301"/>
      <c r="K52" s="301"/>
      <c r="L52" s="301"/>
      <c r="M52" s="301"/>
      <c r="N52" s="301"/>
      <c r="O52" s="301"/>
      <c r="P52" s="301"/>
      <c r="Q52" s="301"/>
      <c r="R52" s="301"/>
      <c r="S52" s="301"/>
      <c r="T52" s="301"/>
      <c r="U52" s="301"/>
      <c r="V52" s="301"/>
      <c r="W52" s="301"/>
      <c r="X52" s="301"/>
      <c r="Y52" s="301"/>
      <c r="Z52" s="301"/>
      <c r="AA52" s="301"/>
      <c r="AI52" s="301"/>
      <c r="AJ52" s="302"/>
      <c r="AM52" s="301"/>
      <c r="AN52" s="302"/>
      <c r="AO52" s="302"/>
      <c r="AP52" s="302"/>
      <c r="AQ52" s="302"/>
      <c r="AR52" s="302"/>
      <c r="AS52" s="302"/>
      <c r="AT52" s="302"/>
    </row>
    <row r="53" spans="1:58" s="17" customFormat="1" ht="12">
      <c r="A53" s="303" t="s">
        <v>755</v>
      </c>
      <c r="B53" s="303" t="s">
        <v>756</v>
      </c>
      <c r="C53" s="302"/>
      <c r="D53" s="302"/>
      <c r="E53" s="302"/>
      <c r="F53" s="302"/>
      <c r="G53" s="302"/>
      <c r="H53" s="302"/>
      <c r="I53" s="302"/>
      <c r="J53" s="302"/>
      <c r="K53" s="302"/>
      <c r="L53" s="302"/>
      <c r="M53" s="302"/>
      <c r="N53" s="302"/>
      <c r="O53" s="302"/>
      <c r="P53" s="302"/>
      <c r="Q53" s="302"/>
      <c r="R53" s="302"/>
      <c r="S53" s="302"/>
      <c r="T53" s="302"/>
      <c r="U53" s="302"/>
      <c r="V53" s="302"/>
      <c r="W53" s="302"/>
      <c r="X53" s="302"/>
      <c r="Y53" s="302"/>
      <c r="Z53" s="302"/>
      <c r="AA53" s="302"/>
      <c r="AI53" s="302"/>
      <c r="AJ53" s="302"/>
      <c r="AM53" s="302"/>
      <c r="AN53" s="302"/>
      <c r="AO53" s="302"/>
      <c r="AP53" s="302"/>
      <c r="AQ53" s="302"/>
      <c r="AR53" s="302"/>
      <c r="AS53" s="302"/>
      <c r="AT53" s="302"/>
    </row>
    <row r="54" spans="1:58" s="17" customFormat="1" ht="12">
      <c r="A54" s="304" t="s">
        <v>757</v>
      </c>
      <c r="B54" s="305" t="s">
        <v>758</v>
      </c>
      <c r="C54" s="302"/>
      <c r="D54" s="302"/>
      <c r="E54" s="302"/>
      <c r="F54" s="302"/>
      <c r="G54" s="302"/>
      <c r="H54" s="302"/>
      <c r="I54" s="302"/>
      <c r="J54" s="302"/>
      <c r="K54" s="302"/>
      <c r="L54" s="302"/>
      <c r="M54" s="302"/>
      <c r="N54" s="302"/>
      <c r="O54" s="302"/>
      <c r="P54" s="302"/>
      <c r="Q54" s="302"/>
      <c r="R54" s="302"/>
      <c r="S54" s="302"/>
      <c r="T54" s="302"/>
      <c r="U54" s="302"/>
      <c r="V54" s="302"/>
      <c r="W54" s="302"/>
      <c r="X54" s="302"/>
      <c r="Y54" s="302"/>
      <c r="Z54" s="302"/>
      <c r="AA54" s="302"/>
      <c r="AI54" s="302"/>
      <c r="AJ54" s="302"/>
      <c r="AM54" s="302"/>
      <c r="AN54" s="302"/>
      <c r="AO54" s="302"/>
      <c r="AP54" s="302"/>
      <c r="AQ54" s="302"/>
      <c r="AR54" s="302"/>
      <c r="AS54" s="302"/>
      <c r="AT54" s="302"/>
    </row>
    <row r="55" spans="1:58" s="17" customFormat="1" ht="12">
      <c r="A55" s="303" t="s">
        <v>759</v>
      </c>
      <c r="B55" s="303" t="s">
        <v>760</v>
      </c>
      <c r="C55" s="306"/>
      <c r="D55" s="306"/>
      <c r="E55" s="306"/>
      <c r="F55" s="306"/>
      <c r="G55" s="306"/>
      <c r="H55" s="306"/>
      <c r="I55" s="306"/>
      <c r="J55" s="306"/>
      <c r="K55" s="306"/>
      <c r="L55" s="306"/>
      <c r="M55" s="306"/>
      <c r="N55" s="306"/>
      <c r="O55" s="306"/>
      <c r="P55" s="306"/>
      <c r="Q55" s="306"/>
      <c r="R55" s="306"/>
      <c r="S55" s="306"/>
      <c r="T55" s="306"/>
      <c r="U55" s="306"/>
      <c r="V55" s="306"/>
      <c r="W55" s="306"/>
      <c r="X55" s="306"/>
      <c r="Y55" s="306"/>
      <c r="Z55" s="306"/>
      <c r="AA55" s="306"/>
      <c r="AI55" s="306"/>
      <c r="AJ55" s="306"/>
      <c r="AM55" s="306"/>
      <c r="AN55" s="306"/>
      <c r="AO55" s="306"/>
      <c r="AP55" s="306"/>
      <c r="AQ55" s="306"/>
      <c r="AR55" s="306"/>
      <c r="AS55" s="306"/>
      <c r="AT55" s="306"/>
    </row>
    <row r="56" spans="1:58" s="17" customFormat="1" ht="12">
      <c r="A56" s="303" t="s">
        <v>761</v>
      </c>
      <c r="B56" s="303" t="s">
        <v>762</v>
      </c>
      <c r="C56" s="306"/>
      <c r="D56" s="306"/>
      <c r="E56" s="306"/>
      <c r="F56" s="306"/>
      <c r="G56" s="306"/>
      <c r="H56" s="306"/>
      <c r="I56" s="306"/>
      <c r="J56" s="306"/>
      <c r="K56" s="306"/>
      <c r="L56" s="306"/>
      <c r="M56" s="306"/>
      <c r="N56" s="306"/>
      <c r="O56" s="306"/>
      <c r="P56" s="306"/>
      <c r="Q56" s="306"/>
      <c r="R56" s="306"/>
      <c r="S56" s="306"/>
      <c r="T56" s="306"/>
      <c r="U56" s="306"/>
      <c r="V56" s="306"/>
      <c r="W56" s="306"/>
      <c r="X56" s="306"/>
      <c r="Y56" s="306"/>
      <c r="Z56" s="306"/>
      <c r="AA56" s="306"/>
      <c r="AI56" s="306"/>
      <c r="AJ56" s="306"/>
      <c r="AM56" s="306"/>
      <c r="AN56" s="306"/>
      <c r="AO56" s="306"/>
      <c r="AP56" s="306"/>
      <c r="AQ56" s="306"/>
      <c r="AR56" s="306"/>
      <c r="AS56" s="306"/>
      <c r="AT56" s="306"/>
    </row>
    <row r="57" spans="1:58" s="17" customFormat="1" ht="12">
      <c r="A57" s="303" t="s">
        <v>763</v>
      </c>
      <c r="B57" s="303" t="s">
        <v>764</v>
      </c>
      <c r="C57" s="302"/>
      <c r="D57" s="302"/>
      <c r="E57" s="302"/>
      <c r="F57" s="302"/>
      <c r="G57" s="302"/>
      <c r="H57" s="302"/>
      <c r="I57" s="302"/>
      <c r="J57" s="302"/>
      <c r="K57" s="302"/>
      <c r="L57" s="302"/>
      <c r="M57" s="302"/>
      <c r="N57" s="302"/>
      <c r="O57" s="302"/>
      <c r="P57" s="302"/>
      <c r="Q57" s="302"/>
      <c r="R57" s="302"/>
      <c r="S57" s="302"/>
      <c r="T57" s="302"/>
      <c r="U57" s="302"/>
      <c r="V57" s="302"/>
      <c r="W57" s="302"/>
      <c r="X57" s="302"/>
      <c r="Y57" s="302"/>
      <c r="Z57" s="302"/>
      <c r="AA57" s="302"/>
      <c r="AI57" s="302"/>
      <c r="AJ57" s="302"/>
      <c r="AM57" s="302"/>
      <c r="AN57" s="302"/>
      <c r="AO57" s="302"/>
      <c r="AP57" s="302"/>
      <c r="AQ57" s="302"/>
      <c r="AR57" s="302"/>
      <c r="AS57" s="302"/>
      <c r="AT57" s="302"/>
    </row>
    <row r="58" spans="1:58" s="17" customFormat="1" ht="12">
      <c r="A58" s="303" t="s">
        <v>765</v>
      </c>
      <c r="B58" s="303" t="s">
        <v>766</v>
      </c>
      <c r="C58" s="302"/>
      <c r="D58" s="302"/>
      <c r="E58" s="302"/>
      <c r="F58" s="302"/>
      <c r="G58" s="302"/>
      <c r="H58" s="302"/>
      <c r="I58" s="302"/>
      <c r="J58" s="302"/>
      <c r="K58" s="302"/>
      <c r="L58" s="302"/>
      <c r="M58" s="302"/>
      <c r="N58" s="302"/>
      <c r="O58" s="302"/>
      <c r="P58" s="302"/>
      <c r="Q58" s="302"/>
      <c r="R58" s="302"/>
      <c r="S58" s="302"/>
      <c r="T58" s="302"/>
      <c r="U58" s="302"/>
      <c r="V58" s="302"/>
      <c r="W58" s="302"/>
      <c r="X58" s="302"/>
      <c r="Y58" s="302"/>
      <c r="Z58" s="302"/>
      <c r="AA58" s="302"/>
      <c r="AI58" s="302"/>
      <c r="AJ58" s="302"/>
      <c r="AM58" s="302"/>
      <c r="AN58" s="302"/>
      <c r="AO58" s="302"/>
      <c r="AP58" s="302"/>
      <c r="AQ58" s="302"/>
      <c r="AR58" s="302"/>
      <c r="AS58" s="302"/>
      <c r="AT58" s="302"/>
    </row>
    <row r="59" spans="1:58">
      <c r="AI59" s="17"/>
      <c r="AJ59" s="17"/>
      <c r="AM59" s="17"/>
      <c r="AN59" s="17"/>
      <c r="AO59" s="17"/>
      <c r="AP59" s="17"/>
      <c r="AQ59" s="17"/>
      <c r="AR59" s="17"/>
      <c r="AS59" s="17"/>
      <c r="AT59" s="17"/>
    </row>
    <row r="60" spans="1:58">
      <c r="A60" s="40"/>
      <c r="B60" s="40"/>
    </row>
    <row r="61" spans="1:58">
      <c r="A61" s="40"/>
      <c r="B61" s="40"/>
    </row>
  </sheetData>
  <mergeCells count="16">
    <mergeCell ref="BC2:BF2"/>
    <mergeCell ref="A2:A3"/>
    <mergeCell ref="B2:B3"/>
    <mergeCell ref="C2:F2"/>
    <mergeCell ref="G2:J2"/>
    <mergeCell ref="K2:N2"/>
    <mergeCell ref="AY2:BB2"/>
    <mergeCell ref="O2:R2"/>
    <mergeCell ref="AE2:AH2"/>
    <mergeCell ref="AA2:AD2"/>
    <mergeCell ref="W2:Z2"/>
    <mergeCell ref="AQ2:AT2"/>
    <mergeCell ref="AI2:AL2"/>
    <mergeCell ref="S2:V2"/>
    <mergeCell ref="AM2:AP2"/>
    <mergeCell ref="AU2:AX2"/>
  </mergeCells>
  <printOptions horizontalCentered="1"/>
  <pageMargins left="0.25" right="0.25" top="0.75" bottom="0.75" header="0.3" footer="0.3"/>
  <pageSetup paperSize="9" scale="22" fitToHeight="0" orientation="landscape" r:id="rId1"/>
  <headerFooter alignWithMargins="0">
    <oddHeader xml:space="preserve">&amp;C&amp;"Times New Roman,Kursywa"&amp;12
</oddHeader>
  </headerFooter>
  <ignoredErrors>
    <ignoredError sqref="P44:T44 L44 D44:H44"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pageSetUpPr fitToPage="1"/>
  </sheetPr>
  <dimension ref="A1:BF80"/>
  <sheetViews>
    <sheetView showGridLines="0" view="pageBreakPreview" zoomScaleNormal="100" zoomScaleSheetLayoutView="100" zoomScalePageLayoutView="80" workbookViewId="0">
      <pane xSplit="2" ySplit="4" topLeftCell="AN5" activePane="bottomRight" state="frozen"/>
      <selection pane="topRight" activeCell="C1" sqref="C1"/>
      <selection pane="bottomLeft" activeCell="A5" sqref="A5"/>
      <selection pane="bottomRight" activeCell="BC2" sqref="BC2:BF2"/>
    </sheetView>
  </sheetViews>
  <sheetFormatPr defaultColWidth="8.85546875" defaultRowHeight="13.5" outlineLevelCol="1"/>
  <cols>
    <col min="1" max="1" width="59.140625" style="40" customWidth="1" outlineLevel="1"/>
    <col min="2" max="2" width="59.140625" style="40" bestFit="1" customWidth="1"/>
    <col min="3" max="58" width="7.140625" style="63" customWidth="1"/>
    <col min="59" max="16384" width="8.85546875" style="13"/>
  </cols>
  <sheetData>
    <row r="1" spans="1:58">
      <c r="A1" s="18" t="s">
        <v>538</v>
      </c>
      <c r="B1" s="18" t="s">
        <v>537</v>
      </c>
      <c r="AH1" s="64"/>
      <c r="AI1" s="64"/>
      <c r="AM1" s="64"/>
      <c r="AU1" s="64"/>
      <c r="AY1" s="64"/>
      <c r="BC1" s="64"/>
    </row>
    <row r="2" spans="1:58">
      <c r="A2" s="639" t="s">
        <v>153</v>
      </c>
      <c r="B2" s="639" t="s">
        <v>10</v>
      </c>
      <c r="C2" s="636">
        <v>2007</v>
      </c>
      <c r="D2" s="641"/>
      <c r="E2" s="641"/>
      <c r="F2" s="641"/>
      <c r="G2" s="636">
        <v>2008</v>
      </c>
      <c r="H2" s="641"/>
      <c r="I2" s="641"/>
      <c r="J2" s="641"/>
      <c r="K2" s="636">
        <v>2009</v>
      </c>
      <c r="L2" s="641"/>
      <c r="M2" s="641"/>
      <c r="N2" s="641"/>
      <c r="O2" s="636">
        <v>2010</v>
      </c>
      <c r="P2" s="641"/>
      <c r="Q2" s="641"/>
      <c r="R2" s="641"/>
      <c r="S2" s="636">
        <v>2011</v>
      </c>
      <c r="T2" s="641"/>
      <c r="U2" s="641"/>
      <c r="V2" s="641"/>
      <c r="W2" s="636">
        <v>2012</v>
      </c>
      <c r="X2" s="641"/>
      <c r="Y2" s="641"/>
      <c r="Z2" s="641"/>
      <c r="AA2" s="636">
        <v>2013</v>
      </c>
      <c r="AB2" s="641"/>
      <c r="AC2" s="641"/>
      <c r="AD2" s="641"/>
      <c r="AE2" s="636">
        <v>2014</v>
      </c>
      <c r="AF2" s="641"/>
      <c r="AG2" s="641"/>
      <c r="AH2" s="641"/>
      <c r="AI2" s="636">
        <v>2015</v>
      </c>
      <c r="AJ2" s="641"/>
      <c r="AK2" s="641"/>
      <c r="AL2" s="641"/>
      <c r="AM2" s="636">
        <v>2016</v>
      </c>
      <c r="AN2" s="641"/>
      <c r="AO2" s="641"/>
      <c r="AP2" s="641"/>
      <c r="AQ2" s="636">
        <v>2017</v>
      </c>
      <c r="AR2" s="637"/>
      <c r="AS2" s="637"/>
      <c r="AT2" s="649"/>
      <c r="AU2" s="636">
        <v>2018</v>
      </c>
      <c r="AV2" s="637"/>
      <c r="AW2" s="637"/>
      <c r="AX2" s="638"/>
      <c r="AY2" s="636">
        <v>2019</v>
      </c>
      <c r="AZ2" s="637"/>
      <c r="BA2" s="637"/>
      <c r="BB2" s="638"/>
      <c r="BC2" s="636">
        <v>2020</v>
      </c>
      <c r="BD2" s="637"/>
      <c r="BE2" s="637"/>
      <c r="BF2" s="638"/>
    </row>
    <row r="3" spans="1:58" s="14" customFormat="1" ht="25.5" customHeight="1">
      <c r="A3" s="640"/>
      <c r="B3" s="640"/>
      <c r="C3" s="20" t="s">
        <v>149</v>
      </c>
      <c r="D3" s="21" t="s">
        <v>150</v>
      </c>
      <c r="E3" s="21" t="s">
        <v>151</v>
      </c>
      <c r="F3" s="21" t="s">
        <v>152</v>
      </c>
      <c r="G3" s="20" t="s">
        <v>149</v>
      </c>
      <c r="H3" s="21" t="s">
        <v>150</v>
      </c>
      <c r="I3" s="21" t="s">
        <v>151</v>
      </c>
      <c r="J3" s="21" t="s">
        <v>152</v>
      </c>
      <c r="K3" s="20" t="s">
        <v>149</v>
      </c>
      <c r="L3" s="21" t="s">
        <v>150</v>
      </c>
      <c r="M3" s="21" t="s">
        <v>151</v>
      </c>
      <c r="N3" s="21" t="s">
        <v>152</v>
      </c>
      <c r="O3" s="20" t="s">
        <v>149</v>
      </c>
      <c r="P3" s="21" t="s">
        <v>150</v>
      </c>
      <c r="Q3" s="21" t="s">
        <v>151</v>
      </c>
      <c r="R3" s="21" t="s">
        <v>152</v>
      </c>
      <c r="S3" s="20" t="s">
        <v>149</v>
      </c>
      <c r="T3" s="21" t="s">
        <v>150</v>
      </c>
      <c r="U3" s="21" t="s">
        <v>151</v>
      </c>
      <c r="V3" s="21" t="s">
        <v>152</v>
      </c>
      <c r="W3" s="20" t="s">
        <v>149</v>
      </c>
      <c r="X3" s="21" t="s">
        <v>150</v>
      </c>
      <c r="Y3" s="21" t="s">
        <v>151</v>
      </c>
      <c r="Z3" s="21" t="s">
        <v>152</v>
      </c>
      <c r="AA3" s="20" t="s">
        <v>149</v>
      </c>
      <c r="AB3" s="21" t="s">
        <v>150</v>
      </c>
      <c r="AC3" s="21" t="s">
        <v>151</v>
      </c>
      <c r="AD3" s="21" t="s">
        <v>152</v>
      </c>
      <c r="AE3" s="20" t="s">
        <v>149</v>
      </c>
      <c r="AF3" s="21" t="s">
        <v>150</v>
      </c>
      <c r="AG3" s="21" t="s">
        <v>151</v>
      </c>
      <c r="AH3" s="21" t="s">
        <v>152</v>
      </c>
      <c r="AI3" s="20" t="s">
        <v>149</v>
      </c>
      <c r="AJ3" s="21" t="s">
        <v>150</v>
      </c>
      <c r="AK3" s="21" t="s">
        <v>151</v>
      </c>
      <c r="AL3" s="21" t="s">
        <v>152</v>
      </c>
      <c r="AM3" s="20" t="s">
        <v>149</v>
      </c>
      <c r="AN3" s="21" t="s">
        <v>150</v>
      </c>
      <c r="AO3" s="21" t="s">
        <v>151</v>
      </c>
      <c r="AP3" s="21" t="s">
        <v>152</v>
      </c>
      <c r="AQ3" s="20" t="s">
        <v>149</v>
      </c>
      <c r="AR3" s="21" t="s">
        <v>150</v>
      </c>
      <c r="AS3" s="21" t="s">
        <v>151</v>
      </c>
      <c r="AT3" s="21" t="s">
        <v>152</v>
      </c>
      <c r="AU3" s="20" t="s">
        <v>149</v>
      </c>
      <c r="AV3" s="21" t="s">
        <v>150</v>
      </c>
      <c r="AW3" s="21" t="s">
        <v>151</v>
      </c>
      <c r="AX3" s="21" t="s">
        <v>152</v>
      </c>
      <c r="AY3" s="20" t="s">
        <v>149</v>
      </c>
      <c r="AZ3" s="21" t="s">
        <v>150</v>
      </c>
      <c r="BA3" s="21" t="s">
        <v>151</v>
      </c>
      <c r="BB3" s="21" t="s">
        <v>152</v>
      </c>
      <c r="BC3" s="20" t="s">
        <v>149</v>
      </c>
      <c r="BD3" s="21" t="s">
        <v>150</v>
      </c>
      <c r="BE3" s="21" t="s">
        <v>151</v>
      </c>
      <c r="BF3" s="21" t="s">
        <v>152</v>
      </c>
    </row>
    <row r="4" spans="1:58" s="14" customFormat="1" ht="12.75" customHeight="1">
      <c r="A4" s="22" t="s">
        <v>154</v>
      </c>
      <c r="B4" s="22" t="s">
        <v>11</v>
      </c>
      <c r="C4" s="65"/>
      <c r="D4" s="66"/>
      <c r="E4" s="66"/>
      <c r="F4" s="66"/>
      <c r="G4" s="65"/>
      <c r="H4" s="66"/>
      <c r="I4" s="66"/>
      <c r="J4" s="67"/>
      <c r="K4" s="65"/>
      <c r="L4" s="66"/>
      <c r="M4" s="66"/>
      <c r="N4" s="67"/>
      <c r="O4" s="65"/>
      <c r="P4" s="66"/>
      <c r="Q4" s="66"/>
      <c r="R4" s="67"/>
      <c r="S4" s="65"/>
      <c r="T4" s="66"/>
      <c r="U4" s="66"/>
      <c r="V4" s="67"/>
      <c r="W4" s="65"/>
      <c r="X4" s="66"/>
      <c r="Y4" s="66"/>
      <c r="Z4" s="67"/>
      <c r="AA4" s="65"/>
      <c r="AB4" s="66"/>
      <c r="AC4" s="66"/>
      <c r="AD4" s="67"/>
      <c r="AE4" s="68"/>
      <c r="AF4" s="69"/>
      <c r="AG4" s="69"/>
      <c r="AH4" s="69"/>
      <c r="AI4" s="68"/>
      <c r="AJ4" s="69"/>
      <c r="AK4" s="69"/>
      <c r="AL4" s="69"/>
      <c r="AM4" s="68"/>
      <c r="AN4" s="69"/>
      <c r="AO4" s="69"/>
      <c r="AP4" s="69"/>
      <c r="AQ4" s="68"/>
      <c r="AR4" s="69"/>
      <c r="AS4" s="69"/>
      <c r="AT4" s="69"/>
      <c r="AU4" s="68"/>
      <c r="AV4" s="69"/>
      <c r="AW4" s="69"/>
      <c r="AX4" s="69"/>
      <c r="AY4" s="68"/>
      <c r="AZ4" s="69"/>
      <c r="BA4" s="69"/>
      <c r="BB4" s="69"/>
      <c r="BC4" s="68"/>
      <c r="BD4" s="69"/>
      <c r="BE4" s="69"/>
      <c r="BF4" s="69"/>
    </row>
    <row r="5" spans="1:58" s="506" customFormat="1">
      <c r="A5" s="411" t="s">
        <v>155</v>
      </c>
      <c r="B5" s="411" t="s">
        <v>543</v>
      </c>
      <c r="C5" s="407">
        <v>556</v>
      </c>
      <c r="D5" s="408">
        <v>586.00000000000011</v>
      </c>
      <c r="E5" s="408">
        <v>618.29999999999995</v>
      </c>
      <c r="F5" s="408">
        <v>673.3</v>
      </c>
      <c r="G5" s="407">
        <v>750.5</v>
      </c>
      <c r="H5" s="408">
        <v>855.3</v>
      </c>
      <c r="I5" s="408">
        <v>910.1</v>
      </c>
      <c r="J5" s="504">
        <v>982.8</v>
      </c>
      <c r="K5" s="505">
        <v>860.8</v>
      </c>
      <c r="L5" s="408">
        <v>773.3</v>
      </c>
      <c r="M5" s="408">
        <v>732.1</v>
      </c>
      <c r="N5" s="504">
        <v>711.5</v>
      </c>
      <c r="O5" s="407">
        <v>726.8</v>
      </c>
      <c r="P5" s="408">
        <v>723.1</v>
      </c>
      <c r="Q5" s="408">
        <v>747.3</v>
      </c>
      <c r="R5" s="504">
        <v>751.5</v>
      </c>
      <c r="S5" s="407">
        <v>772.6</v>
      </c>
      <c r="T5" s="408">
        <v>833.6</v>
      </c>
      <c r="U5" s="408">
        <v>882.3</v>
      </c>
      <c r="V5" s="504">
        <v>897</v>
      </c>
      <c r="W5" s="407">
        <v>945.2</v>
      </c>
      <c r="X5" s="408">
        <v>945.2</v>
      </c>
      <c r="Y5" s="408">
        <v>963.19999999999982</v>
      </c>
      <c r="Z5" s="504">
        <v>977.9</v>
      </c>
      <c r="AA5" s="407">
        <v>925.1</v>
      </c>
      <c r="AB5" s="408">
        <v>902.8</v>
      </c>
      <c r="AC5" s="408">
        <v>895.40000000000009</v>
      </c>
      <c r="AD5" s="504">
        <v>891.4</v>
      </c>
      <c r="AE5" s="407">
        <v>903.8</v>
      </c>
      <c r="AF5" s="408">
        <v>932.6</v>
      </c>
      <c r="AG5" s="408">
        <v>962.2</v>
      </c>
      <c r="AH5" s="504">
        <v>925.9</v>
      </c>
      <c r="AI5" s="407">
        <v>887</v>
      </c>
      <c r="AJ5" s="408">
        <v>878</v>
      </c>
      <c r="AK5" s="408">
        <v>928.5</v>
      </c>
      <c r="AL5" s="504">
        <v>935.1</v>
      </c>
      <c r="AM5" s="407">
        <v>935</v>
      </c>
      <c r="AN5" s="408">
        <v>961.2</v>
      </c>
      <c r="AO5" s="408">
        <v>1010.5</v>
      </c>
      <c r="AP5" s="504">
        <v>1016.1999999999998</v>
      </c>
      <c r="AQ5" s="407">
        <v>1004.3</v>
      </c>
      <c r="AR5" s="408">
        <v>1040.6000000000001</v>
      </c>
      <c r="AS5" s="408">
        <v>1081.5999999999999</v>
      </c>
      <c r="AT5" s="504">
        <v>1111</v>
      </c>
      <c r="AU5" s="407">
        <v>1098.0999999999999</v>
      </c>
      <c r="AV5" s="408">
        <v>1150.2</v>
      </c>
      <c r="AW5" s="408">
        <v>1194.7</v>
      </c>
      <c r="AX5" s="408">
        <v>1230.8000000000002</v>
      </c>
      <c r="AY5" s="407">
        <v>1263.1000000000001</v>
      </c>
      <c r="AZ5" s="408">
        <v>1314.1</v>
      </c>
      <c r="BA5" s="408">
        <v>1367.5</v>
      </c>
      <c r="BB5" s="408">
        <v>1366.5999999999997</v>
      </c>
      <c r="BC5" s="407">
        <v>1386.6</v>
      </c>
      <c r="BD5" s="408">
        <v>1304</v>
      </c>
      <c r="BE5" s="408">
        <v>1277.3000000000002</v>
      </c>
      <c r="BF5" s="408">
        <v>1279</v>
      </c>
    </row>
    <row r="6" spans="1:58" s="506" customFormat="1">
      <c r="A6" s="411" t="s">
        <v>687</v>
      </c>
      <c r="B6" s="411" t="s">
        <v>680</v>
      </c>
      <c r="C6" s="407" t="s">
        <v>332</v>
      </c>
      <c r="D6" s="408" t="s">
        <v>332</v>
      </c>
      <c r="E6" s="408" t="s">
        <v>332</v>
      </c>
      <c r="F6" s="408" t="s">
        <v>332</v>
      </c>
      <c r="G6" s="407" t="s">
        <v>332</v>
      </c>
      <c r="H6" s="408" t="s">
        <v>332</v>
      </c>
      <c r="I6" s="408" t="s">
        <v>332</v>
      </c>
      <c r="J6" s="504" t="s">
        <v>332</v>
      </c>
      <c r="K6" s="505" t="s">
        <v>332</v>
      </c>
      <c r="L6" s="408" t="s">
        <v>332</v>
      </c>
      <c r="M6" s="408" t="s">
        <v>332</v>
      </c>
      <c r="N6" s="504" t="s">
        <v>332</v>
      </c>
      <c r="O6" s="407" t="s">
        <v>332</v>
      </c>
      <c r="P6" s="408" t="s">
        <v>332</v>
      </c>
      <c r="Q6" s="408" t="s">
        <v>332</v>
      </c>
      <c r="R6" s="504" t="s">
        <v>332</v>
      </c>
      <c r="S6" s="407" t="s">
        <v>332</v>
      </c>
      <c r="T6" s="408" t="s">
        <v>332</v>
      </c>
      <c r="U6" s="408" t="s">
        <v>332</v>
      </c>
      <c r="V6" s="504" t="s">
        <v>332</v>
      </c>
      <c r="W6" s="407" t="s">
        <v>332</v>
      </c>
      <c r="X6" s="408" t="s">
        <v>332</v>
      </c>
      <c r="Y6" s="408" t="s">
        <v>332</v>
      </c>
      <c r="Z6" s="504" t="s">
        <v>332</v>
      </c>
      <c r="AA6" s="407" t="s">
        <v>332</v>
      </c>
      <c r="AB6" s="408" t="s">
        <v>332</v>
      </c>
      <c r="AC6" s="408" t="s">
        <v>332</v>
      </c>
      <c r="AD6" s="504" t="s">
        <v>332</v>
      </c>
      <c r="AE6" s="407" t="s">
        <v>332</v>
      </c>
      <c r="AF6" s="408" t="s">
        <v>332</v>
      </c>
      <c r="AG6" s="408" t="s">
        <v>332</v>
      </c>
      <c r="AH6" s="504" t="s">
        <v>332</v>
      </c>
      <c r="AI6" s="407" t="s">
        <v>332</v>
      </c>
      <c r="AJ6" s="408" t="s">
        <v>332</v>
      </c>
      <c r="AK6" s="408" t="s">
        <v>332</v>
      </c>
      <c r="AL6" s="504" t="s">
        <v>332</v>
      </c>
      <c r="AM6" s="407" t="s">
        <v>332</v>
      </c>
      <c r="AN6" s="408" t="s">
        <v>332</v>
      </c>
      <c r="AO6" s="408" t="s">
        <v>332</v>
      </c>
      <c r="AP6" s="504" t="s">
        <v>332</v>
      </c>
      <c r="AQ6" s="407" t="s">
        <v>332</v>
      </c>
      <c r="AR6" s="408" t="s">
        <v>332</v>
      </c>
      <c r="AS6" s="408" t="s">
        <v>332</v>
      </c>
      <c r="AT6" s="507" t="s">
        <v>332</v>
      </c>
      <c r="AU6" s="407">
        <f>AU5-AU7</f>
        <v>1096.8</v>
      </c>
      <c r="AV6" s="408">
        <f t="shared" ref="AV6:BF6" si="0">AV5-AV7</f>
        <v>1148.8</v>
      </c>
      <c r="AW6" s="408">
        <f t="shared" si="0"/>
        <v>1193.4000000000001</v>
      </c>
      <c r="AX6" s="408">
        <f t="shared" si="0"/>
        <v>1229.5000000000002</v>
      </c>
      <c r="AY6" s="407">
        <f t="shared" si="0"/>
        <v>1262.0000000000002</v>
      </c>
      <c r="AZ6" s="408">
        <f t="shared" si="0"/>
        <v>1313</v>
      </c>
      <c r="BA6" s="408">
        <f t="shared" si="0"/>
        <v>1366.5</v>
      </c>
      <c r="BB6" s="408">
        <f t="shared" si="0"/>
        <v>1365.6999999999996</v>
      </c>
      <c r="BC6" s="407">
        <f t="shared" si="0"/>
        <v>1385.8</v>
      </c>
      <c r="BD6" s="408">
        <f t="shared" si="0"/>
        <v>1303.3</v>
      </c>
      <c r="BE6" s="408">
        <f t="shared" si="0"/>
        <v>1276.6000000000001</v>
      </c>
      <c r="BF6" s="408">
        <f t="shared" si="0"/>
        <v>1278.4000000000001</v>
      </c>
    </row>
    <row r="7" spans="1:58" s="506" customFormat="1">
      <c r="A7" s="411" t="s">
        <v>688</v>
      </c>
      <c r="B7" s="411" t="s">
        <v>544</v>
      </c>
      <c r="C7" s="407" t="s">
        <v>332</v>
      </c>
      <c r="D7" s="408" t="s">
        <v>332</v>
      </c>
      <c r="E7" s="408" t="s">
        <v>332</v>
      </c>
      <c r="F7" s="408" t="s">
        <v>332</v>
      </c>
      <c r="G7" s="407" t="s">
        <v>332</v>
      </c>
      <c r="H7" s="408" t="s">
        <v>332</v>
      </c>
      <c r="I7" s="408" t="s">
        <v>332</v>
      </c>
      <c r="J7" s="504" t="s">
        <v>332</v>
      </c>
      <c r="K7" s="505" t="s">
        <v>332</v>
      </c>
      <c r="L7" s="408" t="s">
        <v>332</v>
      </c>
      <c r="M7" s="408" t="s">
        <v>332</v>
      </c>
      <c r="N7" s="504" t="s">
        <v>332</v>
      </c>
      <c r="O7" s="407" t="s">
        <v>332</v>
      </c>
      <c r="P7" s="408" t="s">
        <v>332</v>
      </c>
      <c r="Q7" s="408" t="s">
        <v>332</v>
      </c>
      <c r="R7" s="504" t="s">
        <v>332</v>
      </c>
      <c r="S7" s="407" t="s">
        <v>332</v>
      </c>
      <c r="T7" s="408" t="s">
        <v>332</v>
      </c>
      <c r="U7" s="408" t="s">
        <v>332</v>
      </c>
      <c r="V7" s="504" t="s">
        <v>332</v>
      </c>
      <c r="W7" s="407" t="s">
        <v>332</v>
      </c>
      <c r="X7" s="408" t="s">
        <v>332</v>
      </c>
      <c r="Y7" s="408" t="s">
        <v>332</v>
      </c>
      <c r="Z7" s="504" t="s">
        <v>332</v>
      </c>
      <c r="AA7" s="407" t="s">
        <v>332</v>
      </c>
      <c r="AB7" s="408" t="s">
        <v>332</v>
      </c>
      <c r="AC7" s="408" t="s">
        <v>332</v>
      </c>
      <c r="AD7" s="504" t="s">
        <v>332</v>
      </c>
      <c r="AE7" s="407" t="s">
        <v>332</v>
      </c>
      <c r="AF7" s="408" t="s">
        <v>332</v>
      </c>
      <c r="AG7" s="408" t="s">
        <v>332</v>
      </c>
      <c r="AH7" s="504" t="s">
        <v>332</v>
      </c>
      <c r="AI7" s="407" t="s">
        <v>332</v>
      </c>
      <c r="AJ7" s="408" t="s">
        <v>332</v>
      </c>
      <c r="AK7" s="408" t="s">
        <v>332</v>
      </c>
      <c r="AL7" s="504" t="s">
        <v>332</v>
      </c>
      <c r="AM7" s="407" t="s">
        <v>332</v>
      </c>
      <c r="AN7" s="408" t="s">
        <v>332</v>
      </c>
      <c r="AO7" s="408" t="s">
        <v>332</v>
      </c>
      <c r="AP7" s="504" t="s">
        <v>332</v>
      </c>
      <c r="AQ7" s="407" t="s">
        <v>332</v>
      </c>
      <c r="AR7" s="408" t="s">
        <v>332</v>
      </c>
      <c r="AS7" s="408" t="s">
        <v>332</v>
      </c>
      <c r="AT7" s="504" t="s">
        <v>332</v>
      </c>
      <c r="AU7" s="407">
        <v>1.3</v>
      </c>
      <c r="AV7" s="408">
        <v>1.4</v>
      </c>
      <c r="AW7" s="408">
        <v>1.3</v>
      </c>
      <c r="AX7" s="408">
        <v>1.3</v>
      </c>
      <c r="AY7" s="407">
        <v>1.1000000000000001</v>
      </c>
      <c r="AZ7" s="408">
        <v>1.1000000000000001</v>
      </c>
      <c r="BA7" s="408">
        <v>1</v>
      </c>
      <c r="BB7" s="408">
        <v>0.9</v>
      </c>
      <c r="BC7" s="407">
        <v>0.8</v>
      </c>
      <c r="BD7" s="408">
        <v>0.7</v>
      </c>
      <c r="BE7" s="408">
        <v>0.7</v>
      </c>
      <c r="BF7" s="408">
        <v>0.6</v>
      </c>
    </row>
    <row r="8" spans="1:58" s="506" customFormat="1">
      <c r="A8" s="508" t="s">
        <v>156</v>
      </c>
      <c r="B8" s="508" t="s">
        <v>0</v>
      </c>
      <c r="C8" s="407">
        <f>320.1-0.2</f>
        <v>319.90000000000003</v>
      </c>
      <c r="D8" s="408">
        <v>339.1</v>
      </c>
      <c r="E8" s="408">
        <v>363.7</v>
      </c>
      <c r="F8" s="408">
        <v>410.09999999999997</v>
      </c>
      <c r="G8" s="407">
        <v>467.1</v>
      </c>
      <c r="H8" s="408">
        <v>539.5</v>
      </c>
      <c r="I8" s="408">
        <v>589.20000000000005</v>
      </c>
      <c r="J8" s="504">
        <v>650.29999999999995</v>
      </c>
      <c r="K8" s="407">
        <v>549.70000000000005</v>
      </c>
      <c r="L8" s="408">
        <v>414.3</v>
      </c>
      <c r="M8" s="408">
        <v>354.1</v>
      </c>
      <c r="N8" s="504">
        <v>357.1</v>
      </c>
      <c r="O8" s="407">
        <v>336.4</v>
      </c>
      <c r="P8" s="408">
        <v>317.8</v>
      </c>
      <c r="Q8" s="408">
        <v>337.1</v>
      </c>
      <c r="R8" s="504">
        <v>329.8</v>
      </c>
      <c r="S8" s="407">
        <v>337.7</v>
      </c>
      <c r="T8" s="408">
        <v>374.1</v>
      </c>
      <c r="U8" s="408">
        <v>404.9</v>
      </c>
      <c r="V8" s="504">
        <v>417.3</v>
      </c>
      <c r="W8" s="407">
        <v>431.7</v>
      </c>
      <c r="X8" s="408">
        <v>431.1</v>
      </c>
      <c r="Y8" s="408">
        <v>447.70000000000005</v>
      </c>
      <c r="Z8" s="504">
        <v>472.1</v>
      </c>
      <c r="AA8" s="407">
        <v>449.3</v>
      </c>
      <c r="AB8" s="408">
        <v>407.5</v>
      </c>
      <c r="AC8" s="408">
        <v>369.29999999999995</v>
      </c>
      <c r="AD8" s="504">
        <v>346</v>
      </c>
      <c r="AE8" s="407">
        <v>335.9</v>
      </c>
      <c r="AF8" s="408">
        <v>350.4</v>
      </c>
      <c r="AG8" s="408">
        <v>365.3</v>
      </c>
      <c r="AH8" s="504">
        <v>342.7</v>
      </c>
      <c r="AI8" s="407">
        <v>318</v>
      </c>
      <c r="AJ8" s="408">
        <v>283.89999999999998</v>
      </c>
      <c r="AK8" s="408">
        <v>283.89999999999998</v>
      </c>
      <c r="AL8" s="504">
        <v>275.7</v>
      </c>
      <c r="AM8" s="407">
        <v>266.89999999999998</v>
      </c>
      <c r="AN8" s="408">
        <v>270.3</v>
      </c>
      <c r="AO8" s="408">
        <v>225.6</v>
      </c>
      <c r="AP8" s="504">
        <v>206.70000000000002</v>
      </c>
      <c r="AQ8" s="407">
        <v>209.49999999999997</v>
      </c>
      <c r="AR8" s="408">
        <v>210.1</v>
      </c>
      <c r="AS8" s="408">
        <v>212.7</v>
      </c>
      <c r="AT8" s="504">
        <v>215.79999999999998</v>
      </c>
      <c r="AU8" s="407">
        <v>215.1</v>
      </c>
      <c r="AV8" s="408">
        <v>230.2</v>
      </c>
      <c r="AW8" s="408">
        <v>233.5</v>
      </c>
      <c r="AX8" s="408">
        <v>235.70000000000002</v>
      </c>
      <c r="AY8" s="407">
        <v>242.89999999999998</v>
      </c>
      <c r="AZ8" s="408">
        <v>260.90000000000003</v>
      </c>
      <c r="BA8" s="408">
        <v>239.70000000000002</v>
      </c>
      <c r="BB8" s="408">
        <v>242.70000000000002</v>
      </c>
      <c r="BC8" s="407">
        <v>234.50000000000003</v>
      </c>
      <c r="BD8" s="408">
        <v>204.8</v>
      </c>
      <c r="BE8" s="408">
        <v>140.99999999999997</v>
      </c>
      <c r="BF8" s="408">
        <v>124.8</v>
      </c>
    </row>
    <row r="9" spans="1:58" s="511" customFormat="1">
      <c r="A9" s="509" t="s">
        <v>157</v>
      </c>
      <c r="B9" s="509" t="s">
        <v>1</v>
      </c>
      <c r="C9" s="405">
        <f>C5-C8</f>
        <v>236.09999999999997</v>
      </c>
      <c r="D9" s="406">
        <f t="shared" ref="D9:X9" si="1">D5-D8</f>
        <v>246.90000000000009</v>
      </c>
      <c r="E9" s="406">
        <f t="shared" si="1"/>
        <v>254.59999999999997</v>
      </c>
      <c r="F9" s="406">
        <f t="shared" si="1"/>
        <v>263.2</v>
      </c>
      <c r="G9" s="405">
        <f t="shared" si="1"/>
        <v>283.39999999999998</v>
      </c>
      <c r="H9" s="406">
        <f t="shared" si="1"/>
        <v>315.79999999999995</v>
      </c>
      <c r="I9" s="406">
        <f t="shared" si="1"/>
        <v>320.89999999999998</v>
      </c>
      <c r="J9" s="510">
        <f t="shared" si="1"/>
        <v>332.5</v>
      </c>
      <c r="K9" s="405">
        <f t="shared" si="1"/>
        <v>311.09999999999991</v>
      </c>
      <c r="L9" s="406">
        <f t="shared" si="1"/>
        <v>358.99999999999994</v>
      </c>
      <c r="M9" s="406">
        <f t="shared" si="1"/>
        <v>378</v>
      </c>
      <c r="N9" s="510">
        <f t="shared" si="1"/>
        <v>354.4</v>
      </c>
      <c r="O9" s="405">
        <f t="shared" si="1"/>
        <v>390.4</v>
      </c>
      <c r="P9" s="406">
        <f t="shared" si="1"/>
        <v>405.3</v>
      </c>
      <c r="Q9" s="406">
        <f t="shared" si="1"/>
        <v>410.19999999999993</v>
      </c>
      <c r="R9" s="510">
        <f t="shared" si="1"/>
        <v>421.7</v>
      </c>
      <c r="S9" s="405">
        <f t="shared" si="1"/>
        <v>434.90000000000003</v>
      </c>
      <c r="T9" s="406">
        <f t="shared" si="1"/>
        <v>459.5</v>
      </c>
      <c r="U9" s="406">
        <f t="shared" si="1"/>
        <v>477.4</v>
      </c>
      <c r="V9" s="510">
        <f t="shared" si="1"/>
        <v>479.7</v>
      </c>
      <c r="W9" s="405">
        <f t="shared" si="1"/>
        <v>513.5</v>
      </c>
      <c r="X9" s="406">
        <f t="shared" si="1"/>
        <v>514.1</v>
      </c>
      <c r="Y9" s="406">
        <f t="shared" ref="Y9:AF9" si="2">Y5-Y8</f>
        <v>515.49999999999977</v>
      </c>
      <c r="Z9" s="510">
        <f t="shared" si="2"/>
        <v>505.79999999999995</v>
      </c>
      <c r="AA9" s="405">
        <f t="shared" si="2"/>
        <v>475.8</v>
      </c>
      <c r="AB9" s="406">
        <f t="shared" si="2"/>
        <v>495.29999999999995</v>
      </c>
      <c r="AC9" s="406">
        <f t="shared" si="2"/>
        <v>526.10000000000014</v>
      </c>
      <c r="AD9" s="510">
        <f t="shared" si="2"/>
        <v>545.4</v>
      </c>
      <c r="AE9" s="405">
        <f t="shared" si="2"/>
        <v>567.9</v>
      </c>
      <c r="AF9" s="406">
        <f t="shared" si="2"/>
        <v>582.20000000000005</v>
      </c>
      <c r="AG9" s="406">
        <f t="shared" ref="AG9:AL9" si="3">AG5-AG8</f>
        <v>596.90000000000009</v>
      </c>
      <c r="AH9" s="406">
        <f t="shared" si="3"/>
        <v>583.20000000000005</v>
      </c>
      <c r="AI9" s="405">
        <f t="shared" si="3"/>
        <v>569</v>
      </c>
      <c r="AJ9" s="406">
        <f t="shared" si="3"/>
        <v>594.1</v>
      </c>
      <c r="AK9" s="406">
        <f t="shared" si="3"/>
        <v>644.6</v>
      </c>
      <c r="AL9" s="406">
        <f t="shared" si="3"/>
        <v>659.40000000000009</v>
      </c>
      <c r="AM9" s="405">
        <f t="shared" ref="AM9:AU9" si="4">AM5-AM8</f>
        <v>668.1</v>
      </c>
      <c r="AN9" s="406">
        <f t="shared" si="4"/>
        <v>690.90000000000009</v>
      </c>
      <c r="AO9" s="406">
        <f t="shared" si="4"/>
        <v>784.9</v>
      </c>
      <c r="AP9" s="406">
        <f t="shared" si="4"/>
        <v>809.49999999999977</v>
      </c>
      <c r="AQ9" s="405">
        <f t="shared" si="4"/>
        <v>794.8</v>
      </c>
      <c r="AR9" s="406">
        <f t="shared" si="4"/>
        <v>830.50000000000011</v>
      </c>
      <c r="AS9" s="406">
        <f t="shared" si="4"/>
        <v>868.89999999999986</v>
      </c>
      <c r="AT9" s="406">
        <f t="shared" si="4"/>
        <v>895.2</v>
      </c>
      <c r="AU9" s="405">
        <f t="shared" si="4"/>
        <v>882.99999999999989</v>
      </c>
      <c r="AV9" s="406">
        <f>AV5-AV8</f>
        <v>920</v>
      </c>
      <c r="AW9" s="406">
        <f>AW5-AW8</f>
        <v>961.2</v>
      </c>
      <c r="AX9" s="406">
        <f>AX5-AX8</f>
        <v>995.10000000000014</v>
      </c>
      <c r="AY9" s="405">
        <f t="shared" ref="AY9:AZ9" si="5">AY5-AY8</f>
        <v>1020.2000000000002</v>
      </c>
      <c r="AZ9" s="406">
        <f t="shared" si="5"/>
        <v>1053.1999999999998</v>
      </c>
      <c r="BA9" s="406">
        <f t="shared" ref="BA9:BC9" si="6">BA5-BA8</f>
        <v>1127.8</v>
      </c>
      <c r="BB9" s="406">
        <f t="shared" si="6"/>
        <v>1123.8999999999996</v>
      </c>
      <c r="BC9" s="405">
        <f t="shared" si="6"/>
        <v>1152.0999999999999</v>
      </c>
      <c r="BD9" s="406">
        <f t="shared" ref="BD9:BF9" si="7">BD5-BD8</f>
        <v>1099.2</v>
      </c>
      <c r="BE9" s="406">
        <f t="shared" si="7"/>
        <v>1136.3000000000002</v>
      </c>
      <c r="BF9" s="406">
        <f t="shared" si="7"/>
        <v>1154.2</v>
      </c>
    </row>
    <row r="10" spans="1:58" s="506" customFormat="1">
      <c r="A10" s="411" t="s">
        <v>158</v>
      </c>
      <c r="B10" s="411" t="s">
        <v>2</v>
      </c>
      <c r="C10" s="407">
        <v>239</v>
      </c>
      <c r="D10" s="408">
        <v>248.50000000000003</v>
      </c>
      <c r="E10" s="408">
        <f>251.9-0.1</f>
        <v>251.8</v>
      </c>
      <c r="F10" s="408">
        <v>241.49999999999997</v>
      </c>
      <c r="G10" s="407">
        <v>228.79999999999998</v>
      </c>
      <c r="H10" s="408">
        <v>235.70000000000002</v>
      </c>
      <c r="I10" s="408">
        <v>244.7</v>
      </c>
      <c r="J10" s="504">
        <v>268.5</v>
      </c>
      <c r="K10" s="407">
        <f>256.1-0.1</f>
        <v>256</v>
      </c>
      <c r="L10" s="408">
        <f>275.3-0.7</f>
        <v>274.60000000000002</v>
      </c>
      <c r="M10" s="408">
        <f>278</f>
        <v>278</v>
      </c>
      <c r="N10" s="504">
        <f>275.7-0.2</f>
        <v>275.5</v>
      </c>
      <c r="O10" s="407">
        <f>264.1-0.1</f>
        <v>264</v>
      </c>
      <c r="P10" s="408">
        <f>277.6-0.1</f>
        <v>277.5</v>
      </c>
      <c r="Q10" s="408">
        <f>287.2-0.4</f>
        <v>286.8</v>
      </c>
      <c r="R10" s="504">
        <f>288.2-0.4</f>
        <v>287.8</v>
      </c>
      <c r="S10" s="407">
        <f>285.9-0.3</f>
        <v>285.59999999999997</v>
      </c>
      <c r="T10" s="408">
        <f>295.7-0.7</f>
        <v>295</v>
      </c>
      <c r="U10" s="408">
        <f>297.7-0.5</f>
        <v>297.2</v>
      </c>
      <c r="V10" s="504">
        <f>290.8-0.9</f>
        <v>289.90000000000003</v>
      </c>
      <c r="W10" s="407">
        <f>280.7-0.7-0.3</f>
        <v>279.7</v>
      </c>
      <c r="X10" s="408">
        <f>285.4-0.8-0.3</f>
        <v>284.29999999999995</v>
      </c>
      <c r="Y10" s="408">
        <f>283.8-0.8-0.3</f>
        <v>282.7</v>
      </c>
      <c r="Z10" s="504">
        <f>292.6-1.6-0.3</f>
        <v>290.7</v>
      </c>
      <c r="AA10" s="407">
        <f>271.3-0.3-0.1-0.3</f>
        <v>270.59999999999997</v>
      </c>
      <c r="AB10" s="408">
        <f>294.2-0.5-10.3-0.2-0.1-0.3</f>
        <v>282.79999999999995</v>
      </c>
      <c r="AC10" s="408">
        <f>263.4-1.2+5.1-0.3-1-0.3</f>
        <v>265.7</v>
      </c>
      <c r="AD10" s="504">
        <f>292.2-0.5-1.8-0.3</f>
        <v>289.59999999999997</v>
      </c>
      <c r="AE10" s="407">
        <f>297.7-0.9-0.3</f>
        <v>296.5</v>
      </c>
      <c r="AF10" s="408">
        <f>305.8-0.2-0.3</f>
        <v>305.3</v>
      </c>
      <c r="AG10" s="408">
        <f>286.4-0.6-0.3</f>
        <v>285.49999999999994</v>
      </c>
      <c r="AH10" s="504">
        <f>280-0.3</f>
        <v>279.7</v>
      </c>
      <c r="AI10" s="407">
        <f>277-1.3</f>
        <v>275.7</v>
      </c>
      <c r="AJ10" s="408">
        <f>291.3-0.3</f>
        <v>291</v>
      </c>
      <c r="AK10" s="408">
        <f>279.8-0.3</f>
        <v>279.5</v>
      </c>
      <c r="AL10" s="504">
        <f>286.6-0.3</f>
        <v>286.3</v>
      </c>
      <c r="AM10" s="407">
        <f>285.6-1.7</f>
        <v>283.90000000000003</v>
      </c>
      <c r="AN10" s="408">
        <f>294.7-0.3</f>
        <v>294.39999999999998</v>
      </c>
      <c r="AO10" s="408">
        <f>303.1-0.3</f>
        <v>302.8</v>
      </c>
      <c r="AP10" s="504">
        <v>320.2</v>
      </c>
      <c r="AQ10" s="407">
        <v>350.90000000000003</v>
      </c>
      <c r="AR10" s="408">
        <v>358.9</v>
      </c>
      <c r="AS10" s="408">
        <v>375.9</v>
      </c>
      <c r="AT10" s="504">
        <v>384.40000000000009</v>
      </c>
      <c r="AU10" s="407">
        <v>385.00000000000006</v>
      </c>
      <c r="AV10" s="408">
        <v>418.2000000000001</v>
      </c>
      <c r="AW10" s="408">
        <v>395.3</v>
      </c>
      <c r="AX10" s="408">
        <v>417.00000000000006</v>
      </c>
      <c r="AY10" s="407">
        <v>399.60000000000008</v>
      </c>
      <c r="AZ10" s="408">
        <v>443.90000000000003</v>
      </c>
      <c r="BA10" s="408">
        <v>433.90000000000003</v>
      </c>
      <c r="BB10" s="408">
        <v>446.7</v>
      </c>
      <c r="BC10" s="407">
        <v>460.59999999999997</v>
      </c>
      <c r="BD10" s="408">
        <v>448.60000000000008</v>
      </c>
      <c r="BE10" s="408">
        <v>506.4</v>
      </c>
      <c r="BF10" s="408">
        <v>547.9</v>
      </c>
    </row>
    <row r="11" spans="1:58" s="506" customFormat="1">
      <c r="A11" s="411" t="s">
        <v>159</v>
      </c>
      <c r="B11" s="411" t="s">
        <v>3</v>
      </c>
      <c r="C11" s="407">
        <f>16.7-1</f>
        <v>15.7</v>
      </c>
      <c r="D11" s="408">
        <f>15.2-1</f>
        <v>14.2</v>
      </c>
      <c r="E11" s="408">
        <f>21.1-1</f>
        <v>20.100000000000001</v>
      </c>
      <c r="F11" s="408">
        <f>29-1</f>
        <v>28</v>
      </c>
      <c r="G11" s="407">
        <f>22.1-1.2</f>
        <v>20.900000000000002</v>
      </c>
      <c r="H11" s="408">
        <f>19.9-1.2</f>
        <v>18.7</v>
      </c>
      <c r="I11" s="408">
        <f>16.4-1.2</f>
        <v>15.2</v>
      </c>
      <c r="J11" s="504">
        <f>29.6-1.2</f>
        <v>28.400000000000002</v>
      </c>
      <c r="K11" s="407">
        <f>22.1-4.1-0.1</f>
        <v>17.899999999999999</v>
      </c>
      <c r="L11" s="408">
        <f>25.4-4.1-0.7</f>
        <v>20.599999999999998</v>
      </c>
      <c r="M11" s="408">
        <f>25-4.1</f>
        <v>20.9</v>
      </c>
      <c r="N11" s="504">
        <f>48.2-4.1-0.2</f>
        <v>43.9</v>
      </c>
      <c r="O11" s="407">
        <f>35.6-3.9-0.1</f>
        <v>31.6</v>
      </c>
      <c r="P11" s="408">
        <f>30.7-3.9-0.1</f>
        <v>26.7</v>
      </c>
      <c r="Q11" s="408">
        <f>31.6-3.9-0.4</f>
        <v>27.300000000000004</v>
      </c>
      <c r="R11" s="504">
        <f>31.9-3.9-0.4</f>
        <v>27.6</v>
      </c>
      <c r="S11" s="407">
        <f>34.5-9.1-0.3</f>
        <v>25.099999999999998</v>
      </c>
      <c r="T11" s="408">
        <f>37.3-9.1-0.7</f>
        <v>27.499999999999996</v>
      </c>
      <c r="U11" s="408">
        <f>36.3-9.1-0.5</f>
        <v>26.699999999999996</v>
      </c>
      <c r="V11" s="504">
        <f>40.8-9.1-0.9</f>
        <v>30.799999999999997</v>
      </c>
      <c r="W11" s="407">
        <f>33.7-11-0.7-0.3</f>
        <v>21.700000000000003</v>
      </c>
      <c r="X11" s="408">
        <f>35-11-0.8-0.3</f>
        <v>22.9</v>
      </c>
      <c r="Y11" s="408">
        <f>32.6-11-0.8-0.3</f>
        <v>20.5</v>
      </c>
      <c r="Z11" s="504">
        <f>36.9-11-1.6-0.3</f>
        <v>23.999999999999996</v>
      </c>
      <c r="AA11" s="407">
        <f>31.5-11.3-0.3-0.1-0.3</f>
        <v>19.499999999999996</v>
      </c>
      <c r="AB11" s="408">
        <f>33.8-11.4-0.2-0.1-0.3</f>
        <v>21.799999999999997</v>
      </c>
      <c r="AC11" s="408">
        <f>33.6-11.3-0.3-1-0.3</f>
        <v>20.7</v>
      </c>
      <c r="AD11" s="504">
        <f>38.7-11.3-0.5-1.8-0.3</f>
        <v>24.8</v>
      </c>
      <c r="AE11" s="407">
        <f>21.6-0.9-0.3</f>
        <v>20.400000000000002</v>
      </c>
      <c r="AF11" s="408">
        <f>26.2-0.2-0.3</f>
        <v>25.7</v>
      </c>
      <c r="AG11" s="408">
        <f>28.1-0.6-0.3</f>
        <v>27.2</v>
      </c>
      <c r="AH11" s="504">
        <f>31.1-0.3</f>
        <v>30.8</v>
      </c>
      <c r="AI11" s="407">
        <f>27-1.3</f>
        <v>25.7</v>
      </c>
      <c r="AJ11" s="408">
        <f>27.8-0.3</f>
        <v>27.5</v>
      </c>
      <c r="AK11" s="408">
        <f>30.9-0.3</f>
        <v>30.599999999999998</v>
      </c>
      <c r="AL11" s="504">
        <f>31.8-0.3</f>
        <v>31.5</v>
      </c>
      <c r="AM11" s="407">
        <f>31.7-1.7</f>
        <v>30</v>
      </c>
      <c r="AN11" s="408">
        <f>36.6-0.3</f>
        <v>36.300000000000004</v>
      </c>
      <c r="AO11" s="408">
        <f>33.8-0.3</f>
        <v>33.5</v>
      </c>
      <c r="AP11" s="504">
        <v>36.700000000000003</v>
      </c>
      <c r="AQ11" s="407">
        <v>60.099999999999994</v>
      </c>
      <c r="AR11" s="408">
        <v>65.8</v>
      </c>
      <c r="AS11" s="408">
        <v>66</v>
      </c>
      <c r="AT11" s="504">
        <v>82.199999999999989</v>
      </c>
      <c r="AU11" s="407">
        <v>66.900000000000006</v>
      </c>
      <c r="AV11" s="408">
        <v>78.599999999999994</v>
      </c>
      <c r="AW11" s="408">
        <v>78.800000000000011</v>
      </c>
      <c r="AX11" s="408">
        <v>86.3</v>
      </c>
      <c r="AY11" s="407">
        <v>81.800000000000011</v>
      </c>
      <c r="AZ11" s="408">
        <v>90.2</v>
      </c>
      <c r="BA11" s="408">
        <v>101.30000000000001</v>
      </c>
      <c r="BB11" s="408">
        <v>110.3</v>
      </c>
      <c r="BC11" s="407">
        <v>101.5</v>
      </c>
      <c r="BD11" s="408">
        <v>104.6</v>
      </c>
      <c r="BE11" s="408">
        <v>112.8</v>
      </c>
      <c r="BF11" s="408">
        <v>116.2</v>
      </c>
    </row>
    <row r="12" spans="1:58" s="512" customFormat="1">
      <c r="A12" s="509" t="s">
        <v>160</v>
      </c>
      <c r="B12" s="509" t="s">
        <v>4</v>
      </c>
      <c r="C12" s="405">
        <f>C10-C11</f>
        <v>223.3</v>
      </c>
      <c r="D12" s="406">
        <f t="shared" ref="D12:X12" si="8">D10-D11</f>
        <v>234.30000000000004</v>
      </c>
      <c r="E12" s="406">
        <f t="shared" si="8"/>
        <v>231.70000000000002</v>
      </c>
      <c r="F12" s="406">
        <f t="shared" si="8"/>
        <v>213.49999999999997</v>
      </c>
      <c r="G12" s="405">
        <f t="shared" si="8"/>
        <v>207.89999999999998</v>
      </c>
      <c r="H12" s="406">
        <f t="shared" si="8"/>
        <v>217.00000000000003</v>
      </c>
      <c r="I12" s="406">
        <f t="shared" si="8"/>
        <v>229.5</v>
      </c>
      <c r="J12" s="510">
        <f t="shared" si="8"/>
        <v>240.1</v>
      </c>
      <c r="K12" s="405">
        <f t="shared" si="8"/>
        <v>238.1</v>
      </c>
      <c r="L12" s="406">
        <f t="shared" si="8"/>
        <v>254.00000000000003</v>
      </c>
      <c r="M12" s="406">
        <f t="shared" si="8"/>
        <v>257.10000000000002</v>
      </c>
      <c r="N12" s="510">
        <f t="shared" si="8"/>
        <v>231.6</v>
      </c>
      <c r="O12" s="405">
        <f t="shared" si="8"/>
        <v>232.4</v>
      </c>
      <c r="P12" s="406">
        <f t="shared" si="8"/>
        <v>250.8</v>
      </c>
      <c r="Q12" s="406">
        <f t="shared" si="8"/>
        <v>259.5</v>
      </c>
      <c r="R12" s="510">
        <f t="shared" si="8"/>
        <v>260.2</v>
      </c>
      <c r="S12" s="405">
        <f t="shared" si="8"/>
        <v>260.49999999999994</v>
      </c>
      <c r="T12" s="406">
        <f t="shared" si="8"/>
        <v>267.5</v>
      </c>
      <c r="U12" s="406">
        <f t="shared" si="8"/>
        <v>270.5</v>
      </c>
      <c r="V12" s="510">
        <f t="shared" si="8"/>
        <v>259.10000000000002</v>
      </c>
      <c r="W12" s="405">
        <f t="shared" si="8"/>
        <v>258</v>
      </c>
      <c r="X12" s="406">
        <f t="shared" si="8"/>
        <v>261.39999999999998</v>
      </c>
      <c r="Y12" s="406">
        <f t="shared" ref="Y12:AF12" si="9">Y10-Y11</f>
        <v>262.2</v>
      </c>
      <c r="Z12" s="510">
        <f t="shared" si="9"/>
        <v>266.7</v>
      </c>
      <c r="AA12" s="405">
        <f t="shared" si="9"/>
        <v>251.09999999999997</v>
      </c>
      <c r="AB12" s="406">
        <f t="shared" si="9"/>
        <v>260.99999999999994</v>
      </c>
      <c r="AC12" s="406">
        <f t="shared" si="9"/>
        <v>245</v>
      </c>
      <c r="AD12" s="510">
        <f t="shared" si="9"/>
        <v>264.79999999999995</v>
      </c>
      <c r="AE12" s="405">
        <f t="shared" si="9"/>
        <v>276.10000000000002</v>
      </c>
      <c r="AF12" s="406">
        <f t="shared" si="9"/>
        <v>279.60000000000002</v>
      </c>
      <c r="AG12" s="406">
        <f t="shared" ref="AG12:AL12" si="10">AG10-AG11</f>
        <v>258.29999999999995</v>
      </c>
      <c r="AH12" s="406">
        <f t="shared" si="10"/>
        <v>248.89999999999998</v>
      </c>
      <c r="AI12" s="405">
        <f t="shared" si="10"/>
        <v>250</v>
      </c>
      <c r="AJ12" s="406">
        <f t="shared" si="10"/>
        <v>263.5</v>
      </c>
      <c r="AK12" s="406">
        <f t="shared" si="10"/>
        <v>248.9</v>
      </c>
      <c r="AL12" s="406">
        <f t="shared" si="10"/>
        <v>254.8</v>
      </c>
      <c r="AM12" s="405">
        <f t="shared" ref="AM12:AU12" si="11">AM10-AM11</f>
        <v>253.90000000000003</v>
      </c>
      <c r="AN12" s="406">
        <f t="shared" si="11"/>
        <v>258.09999999999997</v>
      </c>
      <c r="AO12" s="406">
        <f t="shared" si="11"/>
        <v>269.3</v>
      </c>
      <c r="AP12" s="406">
        <f t="shared" si="11"/>
        <v>283.5</v>
      </c>
      <c r="AQ12" s="405">
        <f t="shared" si="11"/>
        <v>290.80000000000007</v>
      </c>
      <c r="AR12" s="406">
        <f t="shared" si="11"/>
        <v>293.09999999999997</v>
      </c>
      <c r="AS12" s="406">
        <f t="shared" si="11"/>
        <v>309.89999999999998</v>
      </c>
      <c r="AT12" s="406">
        <f t="shared" si="11"/>
        <v>302.2000000000001</v>
      </c>
      <c r="AU12" s="405">
        <f t="shared" si="11"/>
        <v>318.10000000000002</v>
      </c>
      <c r="AV12" s="406">
        <f>AV10-AV11</f>
        <v>339.60000000000014</v>
      </c>
      <c r="AW12" s="406">
        <f>AW10-AW11</f>
        <v>316.5</v>
      </c>
      <c r="AX12" s="406">
        <f>AX10-AX11</f>
        <v>330.70000000000005</v>
      </c>
      <c r="AY12" s="405">
        <f t="shared" ref="AY12:AZ12" si="12">AY10-AY11</f>
        <v>317.80000000000007</v>
      </c>
      <c r="AZ12" s="406">
        <f t="shared" si="12"/>
        <v>353.70000000000005</v>
      </c>
      <c r="BA12" s="406">
        <f t="shared" ref="BA12:BC12" si="13">BA10-BA11</f>
        <v>332.6</v>
      </c>
      <c r="BB12" s="406">
        <f t="shared" si="13"/>
        <v>336.4</v>
      </c>
      <c r="BC12" s="405">
        <f t="shared" si="13"/>
        <v>359.09999999999997</v>
      </c>
      <c r="BD12" s="406">
        <f t="shared" ref="BD12:BF12" si="14">BD10-BD11</f>
        <v>344.00000000000011</v>
      </c>
      <c r="BE12" s="406">
        <f t="shared" si="14"/>
        <v>393.59999999999997</v>
      </c>
      <c r="BF12" s="406">
        <f t="shared" si="14"/>
        <v>431.7</v>
      </c>
    </row>
    <row r="13" spans="1:58" s="511" customFormat="1" ht="22.5">
      <c r="A13" s="513" t="s">
        <v>683</v>
      </c>
      <c r="B13" s="412" t="s">
        <v>501</v>
      </c>
      <c r="C13" s="407">
        <v>37.799999999999997</v>
      </c>
      <c r="D13" s="408">
        <v>17.400000000000006</v>
      </c>
      <c r="E13" s="514">
        <v>36.299999999999997</v>
      </c>
      <c r="F13" s="408">
        <v>-8.4999999999999716</v>
      </c>
      <c r="G13" s="407">
        <v>72.5</v>
      </c>
      <c r="H13" s="408">
        <v>64.8</v>
      </c>
      <c r="I13" s="408">
        <v>53.4</v>
      </c>
      <c r="J13" s="504">
        <v>-307.89999999999998</v>
      </c>
      <c r="K13" s="407">
        <v>-24</v>
      </c>
      <c r="L13" s="408">
        <v>43.6</v>
      </c>
      <c r="M13" s="408">
        <v>58.8</v>
      </c>
      <c r="N13" s="504">
        <v>19.5</v>
      </c>
      <c r="O13" s="407">
        <v>28.5</v>
      </c>
      <c r="P13" s="408">
        <v>22.8</v>
      </c>
      <c r="Q13" s="408">
        <v>24.4</v>
      </c>
      <c r="R13" s="504">
        <v>1.8</v>
      </c>
      <c r="S13" s="407">
        <v>26.8</v>
      </c>
      <c r="T13" s="408">
        <f>11.5-0.1</f>
        <v>11.4</v>
      </c>
      <c r="U13" s="408">
        <v>-8.1</v>
      </c>
      <c r="V13" s="504">
        <v>-11.8</v>
      </c>
      <c r="W13" s="407">
        <v>53.7</v>
      </c>
      <c r="X13" s="408">
        <v>12.3</v>
      </c>
      <c r="Y13" s="408">
        <v>18.900000000000006</v>
      </c>
      <c r="Z13" s="504">
        <v>0.6</v>
      </c>
      <c r="AA13" s="407">
        <f>17.1-1</f>
        <v>16.100000000000001</v>
      </c>
      <c r="AB13" s="408">
        <f>24+10.3-5.2</f>
        <v>29.099999999999998</v>
      </c>
      <c r="AC13" s="408">
        <f>41.5-5.1-16.2</f>
        <v>20.2</v>
      </c>
      <c r="AD13" s="504">
        <v>10.1</v>
      </c>
      <c r="AE13" s="407">
        <f>25.3-0.4</f>
        <v>24.900000000000002</v>
      </c>
      <c r="AF13" s="408">
        <f>22.8</f>
        <v>22.8</v>
      </c>
      <c r="AG13" s="408">
        <v>23.6</v>
      </c>
      <c r="AH13" s="504">
        <v>23.1</v>
      </c>
      <c r="AI13" s="407">
        <v>15.2</v>
      </c>
      <c r="AJ13" s="408">
        <v>27.5</v>
      </c>
      <c r="AK13" s="408">
        <v>19.5</v>
      </c>
      <c r="AL13" s="504">
        <v>22.9</v>
      </c>
      <c r="AM13" s="407">
        <v>23</v>
      </c>
      <c r="AN13" s="408">
        <v>5.0999999999999996</v>
      </c>
      <c r="AO13" s="408">
        <v>16.399999999999999</v>
      </c>
      <c r="AP13" s="504">
        <v>12.7</v>
      </c>
      <c r="AQ13" s="407">
        <v>36.700000000000003</v>
      </c>
      <c r="AR13" s="408">
        <v>27.6</v>
      </c>
      <c r="AS13" s="408">
        <v>31.3</v>
      </c>
      <c r="AT13" s="504">
        <v>23.2</v>
      </c>
      <c r="AU13" s="407">
        <v>18</v>
      </c>
      <c r="AV13" s="408">
        <v>24.4</v>
      </c>
      <c r="AW13" s="408">
        <v>27.1</v>
      </c>
      <c r="AX13" s="408">
        <v>21.4</v>
      </c>
      <c r="AY13" s="407">
        <v>31.4</v>
      </c>
      <c r="AZ13" s="408">
        <v>25.1</v>
      </c>
      <c r="BA13" s="408">
        <v>26.6</v>
      </c>
      <c r="BB13" s="408">
        <v>25.2</v>
      </c>
      <c r="BC13" s="407">
        <v>13.9</v>
      </c>
      <c r="BD13" s="408">
        <v>44.3</v>
      </c>
      <c r="BE13" s="408">
        <v>24.4</v>
      </c>
      <c r="BF13" s="408">
        <v>20.9</v>
      </c>
    </row>
    <row r="14" spans="1:58" s="511" customFormat="1" ht="13.5" customHeight="1">
      <c r="A14" s="412" t="s">
        <v>768</v>
      </c>
      <c r="B14" s="508" t="s">
        <v>767</v>
      </c>
      <c r="C14" s="407" t="s">
        <v>332</v>
      </c>
      <c r="D14" s="408" t="s">
        <v>332</v>
      </c>
      <c r="E14" s="408" t="s">
        <v>332</v>
      </c>
      <c r="F14" s="408" t="s">
        <v>332</v>
      </c>
      <c r="G14" s="407" t="s">
        <v>332</v>
      </c>
      <c r="H14" s="408" t="s">
        <v>332</v>
      </c>
      <c r="I14" s="408" t="s">
        <v>332</v>
      </c>
      <c r="J14" s="504" t="s">
        <v>332</v>
      </c>
      <c r="K14" s="505" t="s">
        <v>332</v>
      </c>
      <c r="L14" s="408" t="s">
        <v>332</v>
      </c>
      <c r="M14" s="408" t="s">
        <v>332</v>
      </c>
      <c r="N14" s="504" t="s">
        <v>332</v>
      </c>
      <c r="O14" s="407" t="s">
        <v>332</v>
      </c>
      <c r="P14" s="408" t="s">
        <v>332</v>
      </c>
      <c r="Q14" s="408" t="s">
        <v>332</v>
      </c>
      <c r="R14" s="504" t="s">
        <v>332</v>
      </c>
      <c r="S14" s="407" t="s">
        <v>332</v>
      </c>
      <c r="T14" s="408" t="s">
        <v>332</v>
      </c>
      <c r="U14" s="408" t="s">
        <v>332</v>
      </c>
      <c r="V14" s="504" t="s">
        <v>332</v>
      </c>
      <c r="W14" s="407" t="s">
        <v>332</v>
      </c>
      <c r="X14" s="408" t="s">
        <v>332</v>
      </c>
      <c r="Y14" s="408" t="s">
        <v>332</v>
      </c>
      <c r="Z14" s="504" t="s">
        <v>332</v>
      </c>
      <c r="AA14" s="407" t="s">
        <v>332</v>
      </c>
      <c r="AB14" s="408" t="s">
        <v>332</v>
      </c>
      <c r="AC14" s="408" t="s">
        <v>332</v>
      </c>
      <c r="AD14" s="504" t="s">
        <v>332</v>
      </c>
      <c r="AE14" s="407" t="s">
        <v>332</v>
      </c>
      <c r="AF14" s="408" t="s">
        <v>332</v>
      </c>
      <c r="AG14" s="408" t="s">
        <v>332</v>
      </c>
      <c r="AH14" s="504" t="s">
        <v>332</v>
      </c>
      <c r="AI14" s="407" t="s">
        <v>332</v>
      </c>
      <c r="AJ14" s="408" t="s">
        <v>332</v>
      </c>
      <c r="AK14" s="408" t="s">
        <v>332</v>
      </c>
      <c r="AL14" s="504" t="s">
        <v>332</v>
      </c>
      <c r="AM14" s="407" t="s">
        <v>332</v>
      </c>
      <c r="AN14" s="408" t="s">
        <v>332</v>
      </c>
      <c r="AO14" s="408" t="s">
        <v>332</v>
      </c>
      <c r="AP14" s="504" t="s">
        <v>332</v>
      </c>
      <c r="AQ14" s="407" t="s">
        <v>332</v>
      </c>
      <c r="AR14" s="408" t="s">
        <v>332</v>
      </c>
      <c r="AS14" s="408" t="s">
        <v>332</v>
      </c>
      <c r="AT14" s="507" t="s">
        <v>332</v>
      </c>
      <c r="AU14" s="408">
        <v>33.300000000000004</v>
      </c>
      <c r="AV14" s="408">
        <v>18.2</v>
      </c>
      <c r="AW14" s="408">
        <v>0</v>
      </c>
      <c r="AX14" s="408">
        <v>3.8</v>
      </c>
      <c r="AY14" s="407">
        <v>15.8</v>
      </c>
      <c r="AZ14" s="408">
        <v>16.399999999999999</v>
      </c>
      <c r="BA14" s="408">
        <v>3.6</v>
      </c>
      <c r="BB14" s="408">
        <v>0.5</v>
      </c>
      <c r="BC14" s="407">
        <v>9.1</v>
      </c>
      <c r="BD14" s="408">
        <v>18.8</v>
      </c>
      <c r="BE14" s="408">
        <v>5.4</v>
      </c>
      <c r="BF14" s="408">
        <v>5.0999999999999996</v>
      </c>
    </row>
    <row r="15" spans="1:58" s="511" customFormat="1">
      <c r="A15" s="508" t="s">
        <v>689</v>
      </c>
      <c r="B15" s="508" t="s">
        <v>333</v>
      </c>
      <c r="C15" s="407">
        <v>16.899999999999999</v>
      </c>
      <c r="D15" s="408">
        <v>6.1</v>
      </c>
      <c r="E15" s="408">
        <v>1.9</v>
      </c>
      <c r="F15" s="408">
        <v>0.1</v>
      </c>
      <c r="G15" s="407">
        <v>0.1</v>
      </c>
      <c r="H15" s="408">
        <v>24.1</v>
      </c>
      <c r="I15" s="408">
        <v>-0.3</v>
      </c>
      <c r="J15" s="504">
        <v>6.9</v>
      </c>
      <c r="K15" s="407">
        <v>0.3</v>
      </c>
      <c r="L15" s="408">
        <v>8.3000000000000007</v>
      </c>
      <c r="M15" s="408">
        <v>5.4</v>
      </c>
      <c r="N15" s="504">
        <v>-10.7</v>
      </c>
      <c r="O15" s="407">
        <v>4</v>
      </c>
      <c r="P15" s="408">
        <v>3</v>
      </c>
      <c r="Q15" s="408">
        <v>0.8</v>
      </c>
      <c r="R15" s="504">
        <v>-5.6</v>
      </c>
      <c r="S15" s="407">
        <v>18.2</v>
      </c>
      <c r="T15" s="408">
        <v>6.2</v>
      </c>
      <c r="U15" s="408">
        <v>7.7</v>
      </c>
      <c r="V15" s="504">
        <v>5.9</v>
      </c>
      <c r="W15" s="407">
        <v>19.100000000000001</v>
      </c>
      <c r="X15" s="408">
        <v>6.6</v>
      </c>
      <c r="Y15" s="408">
        <v>-0.89999999999999858</v>
      </c>
      <c r="Z15" s="504">
        <v>-0.2</v>
      </c>
      <c r="AA15" s="407">
        <f>120.4-20.9</f>
        <v>99.5</v>
      </c>
      <c r="AB15" s="408">
        <f>-0.3+6.8</f>
        <v>6.5</v>
      </c>
      <c r="AC15" s="408">
        <f>-11.7+3</f>
        <v>-8.6999999999999993</v>
      </c>
      <c r="AD15" s="504">
        <v>0.4</v>
      </c>
      <c r="AE15" s="407">
        <f>0.1+0.2</f>
        <v>0.30000000000000004</v>
      </c>
      <c r="AF15" s="408">
        <v>4.9000000000000004</v>
      </c>
      <c r="AG15" s="408">
        <v>5.2</v>
      </c>
      <c r="AH15" s="504">
        <v>5.4</v>
      </c>
      <c r="AI15" s="407">
        <f>51.5-0.6</f>
        <v>50.9</v>
      </c>
      <c r="AJ15" s="408">
        <v>90.6</v>
      </c>
      <c r="AK15" s="408">
        <v>23.2</v>
      </c>
      <c r="AL15" s="504">
        <v>0.3</v>
      </c>
      <c r="AM15" s="407">
        <v>28.7</v>
      </c>
      <c r="AN15" s="408">
        <v>196.6</v>
      </c>
      <c r="AO15" s="408">
        <v>4</v>
      </c>
      <c r="AP15" s="504">
        <v>3</v>
      </c>
      <c r="AQ15" s="407">
        <v>10.199999999999999</v>
      </c>
      <c r="AR15" s="408">
        <v>32.799999999999997</v>
      </c>
      <c r="AS15" s="408">
        <v>3.6</v>
      </c>
      <c r="AT15" s="504">
        <v>0</v>
      </c>
      <c r="AU15" s="407" t="s">
        <v>332</v>
      </c>
      <c r="AV15" s="408" t="s">
        <v>332</v>
      </c>
      <c r="AW15" s="408" t="s">
        <v>332</v>
      </c>
      <c r="AX15" s="507" t="s">
        <v>332</v>
      </c>
      <c r="AY15" s="407" t="s">
        <v>332</v>
      </c>
      <c r="AZ15" s="408" t="s">
        <v>332</v>
      </c>
      <c r="BA15" s="408" t="s">
        <v>332</v>
      </c>
      <c r="BB15" s="507" t="s">
        <v>332</v>
      </c>
      <c r="BC15" s="407" t="s">
        <v>332</v>
      </c>
      <c r="BD15" s="515" t="s">
        <v>332</v>
      </c>
      <c r="BE15" s="515" t="s">
        <v>332</v>
      </c>
      <c r="BF15" s="515" t="s">
        <v>332</v>
      </c>
    </row>
    <row r="16" spans="1:58" s="511" customFormat="1">
      <c r="A16" s="412" t="s">
        <v>690</v>
      </c>
      <c r="B16" s="412" t="s">
        <v>334</v>
      </c>
      <c r="C16" s="407">
        <v>0</v>
      </c>
      <c r="D16" s="408">
        <v>-0.19999999999999996</v>
      </c>
      <c r="E16" s="408">
        <v>1.6</v>
      </c>
      <c r="F16" s="408">
        <v>-0.59999999999999964</v>
      </c>
      <c r="G16" s="407">
        <v>0.7</v>
      </c>
      <c r="H16" s="408">
        <v>-0.7</v>
      </c>
      <c r="I16" s="408">
        <v>2.7</v>
      </c>
      <c r="J16" s="504">
        <v>1.9</v>
      </c>
      <c r="K16" s="407">
        <v>17.899999999999999</v>
      </c>
      <c r="L16" s="408">
        <v>6</v>
      </c>
      <c r="M16" s="408">
        <v>-6.7</v>
      </c>
      <c r="N16" s="504">
        <v>2.9</v>
      </c>
      <c r="O16" s="407">
        <v>-6.9</v>
      </c>
      <c r="P16" s="408">
        <v>-15.3</v>
      </c>
      <c r="Q16" s="408">
        <v>-7.9</v>
      </c>
      <c r="R16" s="504">
        <v>18</v>
      </c>
      <c r="S16" s="407">
        <v>-16.3</v>
      </c>
      <c r="T16" s="408">
        <v>-3.2</v>
      </c>
      <c r="U16" s="408">
        <f>-23.6</f>
        <v>-23.6</v>
      </c>
      <c r="V16" s="504">
        <f>9.7</f>
        <v>9.6999999999999993</v>
      </c>
      <c r="W16" s="407">
        <v>1.7</v>
      </c>
      <c r="X16" s="408">
        <v>-5.2</v>
      </c>
      <c r="Y16" s="408">
        <v>-5.5</v>
      </c>
      <c r="Z16" s="504">
        <v>-4.3</v>
      </c>
      <c r="AA16" s="407">
        <f>-19+20.9+1</f>
        <v>2.8999999999999986</v>
      </c>
      <c r="AB16" s="408">
        <f>11.5-6.8+5.2</f>
        <v>9.9</v>
      </c>
      <c r="AC16" s="408">
        <f>2.3+16.2-3</f>
        <v>15.5</v>
      </c>
      <c r="AD16" s="504">
        <v>3.7</v>
      </c>
      <c r="AE16" s="407">
        <f>0.6+0.4-0.2</f>
        <v>0.8</v>
      </c>
      <c r="AF16" s="408">
        <v>3</v>
      </c>
      <c r="AG16" s="408">
        <v>7.2</v>
      </c>
      <c r="AH16" s="504">
        <v>-2.1</v>
      </c>
      <c r="AI16" s="407">
        <f>10.8+0.6</f>
        <v>11.4</v>
      </c>
      <c r="AJ16" s="408">
        <v>3.3</v>
      </c>
      <c r="AK16" s="408">
        <v>2.6</v>
      </c>
      <c r="AL16" s="504">
        <v>5.6</v>
      </c>
      <c r="AM16" s="407">
        <v>-2.6</v>
      </c>
      <c r="AN16" s="408">
        <v>0.5</v>
      </c>
      <c r="AO16" s="408">
        <v>0.2</v>
      </c>
      <c r="AP16" s="504">
        <v>-0.7</v>
      </c>
      <c r="AQ16" s="407">
        <v>2</v>
      </c>
      <c r="AR16" s="408">
        <v>8.3000000000000007</v>
      </c>
      <c r="AS16" s="408">
        <v>1.3</v>
      </c>
      <c r="AT16" s="504">
        <v>3.7</v>
      </c>
      <c r="AU16" s="407">
        <v>2.2000000000000002</v>
      </c>
      <c r="AV16" s="408">
        <v>2</v>
      </c>
      <c r="AW16" s="408">
        <v>-0.7</v>
      </c>
      <c r="AX16" s="408">
        <v>4.4000000000000004</v>
      </c>
      <c r="AY16" s="407">
        <v>-1.2</v>
      </c>
      <c r="AZ16" s="408">
        <v>-0.9</v>
      </c>
      <c r="BA16" s="408">
        <v>-6.7</v>
      </c>
      <c r="BB16" s="408">
        <v>-5.5</v>
      </c>
      <c r="BC16" s="407">
        <v>23.7</v>
      </c>
      <c r="BD16" s="408">
        <v>4.9000000000000004</v>
      </c>
      <c r="BE16" s="408">
        <v>-14.1</v>
      </c>
      <c r="BF16" s="408">
        <v>-3</v>
      </c>
    </row>
    <row r="17" spans="1:58" s="506" customFormat="1">
      <c r="A17" s="508" t="s">
        <v>691</v>
      </c>
      <c r="B17" s="508" t="s">
        <v>335</v>
      </c>
      <c r="C17" s="407">
        <v>12.7</v>
      </c>
      <c r="D17" s="408">
        <v>6.8</v>
      </c>
      <c r="E17" s="408">
        <v>6.6</v>
      </c>
      <c r="F17" s="408">
        <v>-5.2</v>
      </c>
      <c r="G17" s="407">
        <v>6.5</v>
      </c>
      <c r="H17" s="408">
        <v>-9.5</v>
      </c>
      <c r="I17" s="408">
        <v>1</v>
      </c>
      <c r="J17" s="504">
        <v>21</v>
      </c>
      <c r="K17" s="505">
        <v>7.9</v>
      </c>
      <c r="L17" s="408">
        <v>2.7</v>
      </c>
      <c r="M17" s="408">
        <v>5.4</v>
      </c>
      <c r="N17" s="504">
        <v>-24.1</v>
      </c>
      <c r="O17" s="407">
        <v>6.3</v>
      </c>
      <c r="P17" s="408">
        <v>5</v>
      </c>
      <c r="Q17" s="408">
        <v>6.5</v>
      </c>
      <c r="R17" s="504">
        <v>-9.9</v>
      </c>
      <c r="S17" s="407">
        <v>7.8</v>
      </c>
      <c r="T17" s="408">
        <v>4.9000000000000004</v>
      </c>
      <c r="U17" s="408">
        <v>2.7</v>
      </c>
      <c r="V17" s="504">
        <v>1.4</v>
      </c>
      <c r="W17" s="407">
        <v>4</v>
      </c>
      <c r="X17" s="408">
        <v>3.1</v>
      </c>
      <c r="Y17" s="408">
        <v>3.7000000000000011</v>
      </c>
      <c r="Z17" s="504">
        <v>4.5999999999999996</v>
      </c>
      <c r="AA17" s="407">
        <v>9.8000000000000007</v>
      </c>
      <c r="AB17" s="408">
        <v>4.5</v>
      </c>
      <c r="AC17" s="408">
        <v>3.6999999999999993</v>
      </c>
      <c r="AD17" s="504">
        <v>2.7</v>
      </c>
      <c r="AE17" s="407">
        <v>2.6</v>
      </c>
      <c r="AF17" s="408">
        <v>4.0999999999999996</v>
      </c>
      <c r="AG17" s="408">
        <v>6.1</v>
      </c>
      <c r="AH17" s="504">
        <v>7.5</v>
      </c>
      <c r="AI17" s="407">
        <v>9.5</v>
      </c>
      <c r="AJ17" s="408">
        <v>2.4</v>
      </c>
      <c r="AK17" s="408">
        <v>-1.7</v>
      </c>
      <c r="AL17" s="504">
        <v>10.6</v>
      </c>
      <c r="AM17" s="407">
        <v>4.5</v>
      </c>
      <c r="AN17" s="408">
        <v>1.2</v>
      </c>
      <c r="AO17" s="408">
        <v>-0.3</v>
      </c>
      <c r="AP17" s="504">
        <v>14</v>
      </c>
      <c r="AQ17" s="407">
        <v>0.8</v>
      </c>
      <c r="AR17" s="408">
        <v>-0.7</v>
      </c>
      <c r="AS17" s="408">
        <v>-0.1</v>
      </c>
      <c r="AT17" s="504">
        <v>3</v>
      </c>
      <c r="AU17" s="407">
        <v>2.2999999999999998</v>
      </c>
      <c r="AV17" s="408">
        <v>6.0000000000000009</v>
      </c>
      <c r="AW17" s="408">
        <v>2</v>
      </c>
      <c r="AX17" s="408">
        <v>4.0999999999999996</v>
      </c>
      <c r="AY17" s="407">
        <v>2.4</v>
      </c>
      <c r="AZ17" s="408">
        <v>3.8</v>
      </c>
      <c r="BA17" s="408">
        <v>-14.6</v>
      </c>
      <c r="BB17" s="408">
        <v>2.2999999999999998</v>
      </c>
      <c r="BC17" s="407">
        <v>0.4</v>
      </c>
      <c r="BD17" s="408">
        <v>-3.1</v>
      </c>
      <c r="BE17" s="408">
        <v>2.8</v>
      </c>
      <c r="BF17" s="408">
        <v>-9.1</v>
      </c>
    </row>
    <row r="18" spans="1:58" s="511" customFormat="1">
      <c r="A18" s="509" t="s">
        <v>161</v>
      </c>
      <c r="B18" s="509" t="s">
        <v>5</v>
      </c>
      <c r="C18" s="405">
        <f t="shared" ref="C18:AT18" si="15">C9+C12+C13+C15+C16+C17</f>
        <v>526.80000000000007</v>
      </c>
      <c r="D18" s="406">
        <f t="shared" si="15"/>
        <v>511.30000000000018</v>
      </c>
      <c r="E18" s="406">
        <f t="shared" si="15"/>
        <v>532.69999999999993</v>
      </c>
      <c r="F18" s="406">
        <f t="shared" si="15"/>
        <v>462.49999999999994</v>
      </c>
      <c r="G18" s="405">
        <f t="shared" si="15"/>
        <v>571.1</v>
      </c>
      <c r="H18" s="406">
        <f t="shared" si="15"/>
        <v>611.49999999999989</v>
      </c>
      <c r="I18" s="406">
        <f t="shared" si="15"/>
        <v>607.20000000000005</v>
      </c>
      <c r="J18" s="510">
        <f t="shared" si="15"/>
        <v>294.5</v>
      </c>
      <c r="K18" s="405">
        <f t="shared" si="15"/>
        <v>551.29999999999984</v>
      </c>
      <c r="L18" s="406">
        <f t="shared" si="15"/>
        <v>673.6</v>
      </c>
      <c r="M18" s="406">
        <f t="shared" si="15"/>
        <v>697.99999999999989</v>
      </c>
      <c r="N18" s="510">
        <f t="shared" si="15"/>
        <v>573.59999999999991</v>
      </c>
      <c r="O18" s="405">
        <f t="shared" si="15"/>
        <v>654.69999999999993</v>
      </c>
      <c r="P18" s="406">
        <f t="shared" si="15"/>
        <v>671.6</v>
      </c>
      <c r="Q18" s="406">
        <f t="shared" si="15"/>
        <v>693.49999999999989</v>
      </c>
      <c r="R18" s="510">
        <f t="shared" si="15"/>
        <v>686.19999999999993</v>
      </c>
      <c r="S18" s="405">
        <f t="shared" si="15"/>
        <v>731.9</v>
      </c>
      <c r="T18" s="406">
        <f t="shared" si="15"/>
        <v>746.3</v>
      </c>
      <c r="U18" s="406">
        <f t="shared" si="15"/>
        <v>726.6</v>
      </c>
      <c r="V18" s="510">
        <f t="shared" si="15"/>
        <v>744</v>
      </c>
      <c r="W18" s="405">
        <f t="shared" si="15"/>
        <v>850.00000000000011</v>
      </c>
      <c r="X18" s="406">
        <f t="shared" si="15"/>
        <v>792.3</v>
      </c>
      <c r="Y18" s="406">
        <f t="shared" si="15"/>
        <v>793.89999999999986</v>
      </c>
      <c r="Z18" s="510">
        <f t="shared" si="15"/>
        <v>773.2</v>
      </c>
      <c r="AA18" s="405">
        <f t="shared" si="15"/>
        <v>855.19999999999993</v>
      </c>
      <c r="AB18" s="406">
        <f t="shared" si="15"/>
        <v>806.3</v>
      </c>
      <c r="AC18" s="406">
        <f t="shared" si="15"/>
        <v>801.80000000000018</v>
      </c>
      <c r="AD18" s="510">
        <f t="shared" si="15"/>
        <v>827.1</v>
      </c>
      <c r="AE18" s="405">
        <f t="shared" si="15"/>
        <v>872.59999999999991</v>
      </c>
      <c r="AF18" s="406">
        <f t="shared" si="15"/>
        <v>896.6</v>
      </c>
      <c r="AG18" s="406">
        <f t="shared" si="15"/>
        <v>897.30000000000018</v>
      </c>
      <c r="AH18" s="406">
        <f t="shared" si="15"/>
        <v>866</v>
      </c>
      <c r="AI18" s="405">
        <f t="shared" si="15"/>
        <v>906</v>
      </c>
      <c r="AJ18" s="406">
        <f t="shared" si="15"/>
        <v>981.4</v>
      </c>
      <c r="AK18" s="406">
        <f t="shared" si="15"/>
        <v>937.1</v>
      </c>
      <c r="AL18" s="406">
        <f t="shared" si="15"/>
        <v>953.6</v>
      </c>
      <c r="AM18" s="405">
        <f t="shared" si="15"/>
        <v>975.6</v>
      </c>
      <c r="AN18" s="406">
        <f t="shared" si="15"/>
        <v>1152.4000000000001</v>
      </c>
      <c r="AO18" s="406">
        <f t="shared" si="15"/>
        <v>1074.5000000000002</v>
      </c>
      <c r="AP18" s="406">
        <f t="shared" si="15"/>
        <v>1121.9999999999998</v>
      </c>
      <c r="AQ18" s="405">
        <f t="shared" si="15"/>
        <v>1135.3</v>
      </c>
      <c r="AR18" s="406">
        <f t="shared" si="15"/>
        <v>1191.5999999999999</v>
      </c>
      <c r="AS18" s="406">
        <f t="shared" si="15"/>
        <v>1214.8999999999996</v>
      </c>
      <c r="AT18" s="406">
        <f t="shared" si="15"/>
        <v>1227.3000000000002</v>
      </c>
      <c r="AU18" s="405">
        <f t="shared" ref="AU18:AZ18" si="16">AU9+AU12+AU13+AU16+AU17+AU14</f>
        <v>1256.8999999999999</v>
      </c>
      <c r="AV18" s="406">
        <f t="shared" si="16"/>
        <v>1310.2000000000003</v>
      </c>
      <c r="AW18" s="406">
        <f t="shared" si="16"/>
        <v>1306.0999999999999</v>
      </c>
      <c r="AX18" s="406">
        <f t="shared" si="16"/>
        <v>1359.5000000000002</v>
      </c>
      <c r="AY18" s="405">
        <f t="shared" si="16"/>
        <v>1386.4000000000003</v>
      </c>
      <c r="AZ18" s="406">
        <f t="shared" si="16"/>
        <v>1451.2999999999997</v>
      </c>
      <c r="BA18" s="406">
        <f t="shared" ref="BA18:BC18" si="17">BA9+BA12+BA13+BA16+BA17+BA14</f>
        <v>1469.3</v>
      </c>
      <c r="BB18" s="406">
        <f t="shared" si="17"/>
        <v>1482.7999999999997</v>
      </c>
      <c r="BC18" s="405">
        <f t="shared" si="17"/>
        <v>1558.3</v>
      </c>
      <c r="BD18" s="406">
        <f t="shared" ref="BD18:BF18" si="18">BD9+BD12+BD13+BD16+BD17+BD14</f>
        <v>1508.1000000000004</v>
      </c>
      <c r="BE18" s="406">
        <f t="shared" si="18"/>
        <v>1548.4000000000003</v>
      </c>
      <c r="BF18" s="406">
        <f t="shared" si="18"/>
        <v>1599.8000000000002</v>
      </c>
    </row>
    <row r="19" spans="1:58" s="511" customFormat="1">
      <c r="A19" s="412" t="s">
        <v>162</v>
      </c>
      <c r="B19" s="412" t="s">
        <v>336</v>
      </c>
      <c r="C19" s="407">
        <v>336.1</v>
      </c>
      <c r="D19" s="408">
        <v>345</v>
      </c>
      <c r="E19" s="408">
        <v>356.9</v>
      </c>
      <c r="F19" s="408">
        <v>355.1</v>
      </c>
      <c r="G19" s="407">
        <v>367.69999999999993</v>
      </c>
      <c r="H19" s="408">
        <v>389.9</v>
      </c>
      <c r="I19" s="408">
        <v>407.7</v>
      </c>
      <c r="J19" s="504">
        <v>338.59999999999997</v>
      </c>
      <c r="K19" s="407">
        <v>366.79999999999995</v>
      </c>
      <c r="L19" s="408">
        <v>386.6</v>
      </c>
      <c r="M19" s="408">
        <v>397.29999999999995</v>
      </c>
      <c r="N19" s="504">
        <v>355.2</v>
      </c>
      <c r="O19" s="407">
        <v>394.4</v>
      </c>
      <c r="P19" s="408">
        <v>407.1</v>
      </c>
      <c r="Q19" s="408">
        <v>411.6</v>
      </c>
      <c r="R19" s="504">
        <v>396.4</v>
      </c>
      <c r="S19" s="407">
        <v>417.4</v>
      </c>
      <c r="T19" s="408">
        <v>431.8</v>
      </c>
      <c r="U19" s="408">
        <v>431.1</v>
      </c>
      <c r="V19" s="504">
        <v>419.7</v>
      </c>
      <c r="W19" s="407">
        <v>474.90000000000003</v>
      </c>
      <c r="X19" s="408">
        <v>465</v>
      </c>
      <c r="Y19" s="408">
        <v>466.2</v>
      </c>
      <c r="Z19" s="504">
        <v>460.1</v>
      </c>
      <c r="AA19" s="407">
        <v>482.2</v>
      </c>
      <c r="AB19" s="408">
        <v>477</v>
      </c>
      <c r="AC19" s="408">
        <v>458.79999999999995</v>
      </c>
      <c r="AD19" s="504">
        <v>450.40000000000003</v>
      </c>
      <c r="AE19" s="407">
        <v>471.20000000000005</v>
      </c>
      <c r="AF19" s="408">
        <v>480.5</v>
      </c>
      <c r="AG19" s="408">
        <v>489.5</v>
      </c>
      <c r="AH19" s="408">
        <v>488.5</v>
      </c>
      <c r="AI19" s="407">
        <v>495.6</v>
      </c>
      <c r="AJ19" s="408">
        <v>502.29999999999995</v>
      </c>
      <c r="AK19" s="408">
        <v>509.8</v>
      </c>
      <c r="AL19" s="408">
        <v>648</v>
      </c>
      <c r="AM19" s="407">
        <v>508.8</v>
      </c>
      <c r="AN19" s="408">
        <v>517.20000000000005</v>
      </c>
      <c r="AO19" s="408">
        <v>515.5</v>
      </c>
      <c r="AP19" s="408">
        <v>557.69999999999993</v>
      </c>
      <c r="AQ19" s="407">
        <v>565.6</v>
      </c>
      <c r="AR19" s="408">
        <v>512.1</v>
      </c>
      <c r="AS19" s="408">
        <v>529.6</v>
      </c>
      <c r="AT19" s="408">
        <v>528.5</v>
      </c>
      <c r="AU19" s="407">
        <v>628.30000000000007</v>
      </c>
      <c r="AV19" s="408">
        <v>554.99999999999989</v>
      </c>
      <c r="AW19" s="408">
        <v>577.20000000000005</v>
      </c>
      <c r="AX19" s="408">
        <v>566.29999999999995</v>
      </c>
      <c r="AY19" s="407">
        <v>721.1</v>
      </c>
      <c r="AZ19" s="408">
        <v>581.1</v>
      </c>
      <c r="BA19" s="408">
        <v>604.4</v>
      </c>
      <c r="BB19" s="408">
        <v>590.79999999999995</v>
      </c>
      <c r="BC19" s="407">
        <v>775</v>
      </c>
      <c r="BD19" s="408">
        <v>638.5</v>
      </c>
      <c r="BE19" s="408">
        <v>666.7</v>
      </c>
      <c r="BF19" s="408">
        <v>682.3</v>
      </c>
    </row>
    <row r="20" spans="1:58" s="511" customFormat="1" ht="12.75" customHeight="1">
      <c r="A20" s="508" t="s">
        <v>532</v>
      </c>
      <c r="B20" s="516" t="s">
        <v>769</v>
      </c>
      <c r="C20" s="407">
        <v>0</v>
      </c>
      <c r="D20" s="408">
        <v>0</v>
      </c>
      <c r="E20" s="408">
        <v>0</v>
      </c>
      <c r="F20" s="408">
        <v>0</v>
      </c>
      <c r="G20" s="407">
        <v>0</v>
      </c>
      <c r="H20" s="408">
        <v>0</v>
      </c>
      <c r="I20" s="408">
        <v>0</v>
      </c>
      <c r="J20" s="504">
        <v>0</v>
      </c>
      <c r="K20" s="407">
        <v>0</v>
      </c>
      <c r="L20" s="408">
        <v>0</v>
      </c>
      <c r="M20" s="408">
        <v>0</v>
      </c>
      <c r="N20" s="504">
        <v>0</v>
      </c>
      <c r="O20" s="407">
        <v>0</v>
      </c>
      <c r="P20" s="408">
        <v>0</v>
      </c>
      <c r="Q20" s="408">
        <v>0</v>
      </c>
      <c r="R20" s="504">
        <v>0</v>
      </c>
      <c r="S20" s="407">
        <v>0</v>
      </c>
      <c r="T20" s="408">
        <v>0</v>
      </c>
      <c r="U20" s="408">
        <v>0</v>
      </c>
      <c r="V20" s="504">
        <v>0</v>
      </c>
      <c r="W20" s="407">
        <v>0</v>
      </c>
      <c r="X20" s="408">
        <v>0</v>
      </c>
      <c r="Y20" s="408">
        <v>0</v>
      </c>
      <c r="Z20" s="504">
        <v>0</v>
      </c>
      <c r="AA20" s="407">
        <v>0</v>
      </c>
      <c r="AB20" s="408">
        <v>0</v>
      </c>
      <c r="AC20" s="408">
        <v>0</v>
      </c>
      <c r="AD20" s="504">
        <v>0</v>
      </c>
      <c r="AE20" s="407">
        <v>0</v>
      </c>
      <c r="AF20" s="408">
        <v>0</v>
      </c>
      <c r="AG20" s="408">
        <v>0</v>
      </c>
      <c r="AH20" s="504">
        <v>0</v>
      </c>
      <c r="AI20" s="407">
        <v>0</v>
      </c>
      <c r="AJ20" s="408">
        <v>0</v>
      </c>
      <c r="AK20" s="408">
        <v>0</v>
      </c>
      <c r="AL20" s="504">
        <v>0</v>
      </c>
      <c r="AM20" s="407">
        <v>50.5</v>
      </c>
      <c r="AN20" s="408">
        <v>76.8</v>
      </c>
      <c r="AO20" s="408">
        <v>75.7</v>
      </c>
      <c r="AP20" s="504">
        <v>77.2</v>
      </c>
      <c r="AQ20" s="407">
        <v>79.400000000000006</v>
      </c>
      <c r="AR20" s="408">
        <v>80.400000000000006</v>
      </c>
      <c r="AS20" s="408">
        <v>84.1</v>
      </c>
      <c r="AT20" s="504">
        <v>86.2</v>
      </c>
      <c r="AU20" s="407">
        <v>87.5</v>
      </c>
      <c r="AV20" s="408">
        <v>92.1</v>
      </c>
      <c r="AW20" s="408">
        <v>94.7</v>
      </c>
      <c r="AX20" s="408">
        <v>99.5</v>
      </c>
      <c r="AY20" s="407">
        <v>102.2</v>
      </c>
      <c r="AZ20" s="408">
        <v>108.4</v>
      </c>
      <c r="BA20" s="408">
        <v>111.5</v>
      </c>
      <c r="BB20" s="408">
        <v>113.6</v>
      </c>
      <c r="BC20" s="407">
        <v>116</v>
      </c>
      <c r="BD20" s="408">
        <v>121.1</v>
      </c>
      <c r="BE20" s="408">
        <v>122</v>
      </c>
      <c r="BF20" s="408">
        <v>122.5</v>
      </c>
    </row>
    <row r="21" spans="1:58" s="511" customFormat="1" ht="22.5">
      <c r="A21" s="508" t="s">
        <v>163</v>
      </c>
      <c r="B21" s="508" t="s">
        <v>681</v>
      </c>
      <c r="C21" s="407">
        <v>-6.3</v>
      </c>
      <c r="D21" s="408">
        <v>-26.7</v>
      </c>
      <c r="E21" s="408">
        <v>-64.400000000000006</v>
      </c>
      <c r="F21" s="408">
        <v>-5.8</v>
      </c>
      <c r="G21" s="407">
        <v>0.7</v>
      </c>
      <c r="H21" s="408">
        <v>-58.8</v>
      </c>
      <c r="I21" s="408">
        <v>7.2</v>
      </c>
      <c r="J21" s="504">
        <v>116.5</v>
      </c>
      <c r="K21" s="407">
        <v>91.7</v>
      </c>
      <c r="L21" s="408">
        <v>73.8</v>
      </c>
      <c r="M21" s="514">
        <v>54.1</v>
      </c>
      <c r="N21" s="517">
        <v>84.8</v>
      </c>
      <c r="O21" s="407">
        <v>48.1</v>
      </c>
      <c r="P21" s="514">
        <v>39.200000000000003</v>
      </c>
      <c r="Q21" s="408">
        <v>55.1</v>
      </c>
      <c r="R21" s="517">
        <v>61.2</v>
      </c>
      <c r="S21" s="407">
        <v>57.1</v>
      </c>
      <c r="T21" s="408">
        <v>37.700000000000003</v>
      </c>
      <c r="U21" s="408">
        <v>27.1</v>
      </c>
      <c r="V21" s="504">
        <v>50.5</v>
      </c>
      <c r="W21" s="407">
        <v>64.3</v>
      </c>
      <c r="X21" s="408">
        <v>131.19999999999999</v>
      </c>
      <c r="Y21" s="408">
        <v>82.600000000000023</v>
      </c>
      <c r="Z21" s="504">
        <v>84.7</v>
      </c>
      <c r="AA21" s="407">
        <v>58</v>
      </c>
      <c r="AB21" s="408">
        <f>64+5.1</f>
        <v>69.099999999999994</v>
      </c>
      <c r="AC21" s="408">
        <v>63.7</v>
      </c>
      <c r="AD21" s="504">
        <f>68+7.3+1.1</f>
        <v>76.399999999999991</v>
      </c>
      <c r="AE21" s="407">
        <v>84.1</v>
      </c>
      <c r="AF21" s="408">
        <v>33.299999999999997</v>
      </c>
      <c r="AG21" s="408">
        <v>65.2</v>
      </c>
      <c r="AH21" s="504">
        <v>85.1</v>
      </c>
      <c r="AI21" s="407">
        <v>84.3</v>
      </c>
      <c r="AJ21" s="408">
        <v>64.3</v>
      </c>
      <c r="AK21" s="408">
        <v>32</v>
      </c>
      <c r="AL21" s="504">
        <v>51.5</v>
      </c>
      <c r="AM21" s="407">
        <v>78.900000000000006</v>
      </c>
      <c r="AN21" s="408">
        <v>33.5</v>
      </c>
      <c r="AO21" s="408">
        <v>49.7</v>
      </c>
      <c r="AP21" s="504">
        <v>138.5</v>
      </c>
      <c r="AQ21" s="407">
        <v>76.400000000000006</v>
      </c>
      <c r="AR21" s="408">
        <v>123.1</v>
      </c>
      <c r="AS21" s="408">
        <v>109.1</v>
      </c>
      <c r="AT21" s="504">
        <v>112.6</v>
      </c>
      <c r="AU21" s="407" t="s">
        <v>332</v>
      </c>
      <c r="AV21" s="408" t="s">
        <v>332</v>
      </c>
      <c r="AW21" s="408" t="s">
        <v>332</v>
      </c>
      <c r="AX21" s="408" t="s">
        <v>332</v>
      </c>
      <c r="AY21" s="407" t="s">
        <v>332</v>
      </c>
      <c r="AZ21" s="408" t="s">
        <v>332</v>
      </c>
      <c r="BA21" s="408" t="s">
        <v>332</v>
      </c>
      <c r="BB21" s="408" t="s">
        <v>332</v>
      </c>
      <c r="BC21" s="407" t="s">
        <v>332</v>
      </c>
      <c r="BD21" s="408" t="s">
        <v>332</v>
      </c>
      <c r="BE21" s="408" t="s">
        <v>332</v>
      </c>
      <c r="BF21" s="515" t="s">
        <v>332</v>
      </c>
    </row>
    <row r="22" spans="1:58" s="511" customFormat="1" ht="22.5">
      <c r="A22" s="508" t="s">
        <v>907</v>
      </c>
      <c r="B22" s="508" t="s">
        <v>906</v>
      </c>
      <c r="C22" s="407" t="s">
        <v>332</v>
      </c>
      <c r="D22" s="408" t="s">
        <v>332</v>
      </c>
      <c r="E22" s="408" t="s">
        <v>332</v>
      </c>
      <c r="F22" s="408" t="s">
        <v>332</v>
      </c>
      <c r="G22" s="407" t="s">
        <v>332</v>
      </c>
      <c r="H22" s="408" t="s">
        <v>332</v>
      </c>
      <c r="I22" s="408" t="s">
        <v>332</v>
      </c>
      <c r="J22" s="504" t="s">
        <v>332</v>
      </c>
      <c r="K22" s="505" t="s">
        <v>332</v>
      </c>
      <c r="L22" s="408" t="s">
        <v>332</v>
      </c>
      <c r="M22" s="408" t="s">
        <v>332</v>
      </c>
      <c r="N22" s="504" t="s">
        <v>332</v>
      </c>
      <c r="O22" s="407" t="s">
        <v>332</v>
      </c>
      <c r="P22" s="408" t="s">
        <v>332</v>
      </c>
      <c r="Q22" s="408" t="s">
        <v>332</v>
      </c>
      <c r="R22" s="504" t="s">
        <v>332</v>
      </c>
      <c r="S22" s="407" t="s">
        <v>332</v>
      </c>
      <c r="T22" s="408" t="s">
        <v>332</v>
      </c>
      <c r="U22" s="408" t="s">
        <v>332</v>
      </c>
      <c r="V22" s="504" t="s">
        <v>332</v>
      </c>
      <c r="W22" s="407" t="s">
        <v>332</v>
      </c>
      <c r="X22" s="408" t="s">
        <v>332</v>
      </c>
      <c r="Y22" s="408" t="s">
        <v>332</v>
      </c>
      <c r="Z22" s="504" t="s">
        <v>332</v>
      </c>
      <c r="AA22" s="407" t="s">
        <v>332</v>
      </c>
      <c r="AB22" s="408" t="s">
        <v>332</v>
      </c>
      <c r="AC22" s="408" t="s">
        <v>332</v>
      </c>
      <c r="AD22" s="504" t="s">
        <v>332</v>
      </c>
      <c r="AE22" s="407" t="s">
        <v>332</v>
      </c>
      <c r="AF22" s="408" t="s">
        <v>332</v>
      </c>
      <c r="AG22" s="408" t="s">
        <v>332</v>
      </c>
      <c r="AH22" s="504" t="s">
        <v>332</v>
      </c>
      <c r="AI22" s="407" t="s">
        <v>332</v>
      </c>
      <c r="AJ22" s="408" t="s">
        <v>332</v>
      </c>
      <c r="AK22" s="408" t="s">
        <v>332</v>
      </c>
      <c r="AL22" s="504" t="s">
        <v>332</v>
      </c>
      <c r="AM22" s="407" t="s">
        <v>332</v>
      </c>
      <c r="AN22" s="408" t="s">
        <v>332</v>
      </c>
      <c r="AO22" s="408" t="s">
        <v>332</v>
      </c>
      <c r="AP22" s="504" t="s">
        <v>332</v>
      </c>
      <c r="AQ22" s="407" t="s">
        <v>332</v>
      </c>
      <c r="AR22" s="408" t="s">
        <v>332</v>
      </c>
      <c r="AS22" s="408" t="s">
        <v>332</v>
      </c>
      <c r="AT22" s="507" t="s">
        <v>332</v>
      </c>
      <c r="AU22" s="407">
        <v>94.8</v>
      </c>
      <c r="AV22" s="408">
        <v>173.7</v>
      </c>
      <c r="AW22" s="408">
        <v>133.9</v>
      </c>
      <c r="AX22" s="408">
        <v>98.5</v>
      </c>
      <c r="AY22" s="407">
        <v>125</v>
      </c>
      <c r="AZ22" s="408">
        <v>135.9</v>
      </c>
      <c r="BA22" s="408">
        <v>180.2</v>
      </c>
      <c r="BB22" s="408">
        <v>164.39999999999998</v>
      </c>
      <c r="BC22" s="407">
        <v>294.7</v>
      </c>
      <c r="BD22" s="408">
        <v>312.39999999999998</v>
      </c>
      <c r="BE22" s="408">
        <v>145.29999999999998</v>
      </c>
      <c r="BF22" s="408">
        <v>322.5</v>
      </c>
    </row>
    <row r="23" spans="1:58" s="511" customFormat="1" ht="22.5">
      <c r="A23" s="508" t="s">
        <v>164</v>
      </c>
      <c r="B23" s="508" t="s">
        <v>502</v>
      </c>
      <c r="C23" s="407">
        <v>12.4</v>
      </c>
      <c r="D23" s="408">
        <v>10.9</v>
      </c>
      <c r="E23" s="408">
        <v>9.6</v>
      </c>
      <c r="F23" s="408">
        <v>10.7</v>
      </c>
      <c r="G23" s="407">
        <v>11.6</v>
      </c>
      <c r="H23" s="408">
        <v>14.2</v>
      </c>
      <c r="I23" s="408">
        <v>13</v>
      </c>
      <c r="J23" s="504">
        <f>9.3+0.1</f>
        <v>9.4</v>
      </c>
      <c r="K23" s="407">
        <v>10.1</v>
      </c>
      <c r="L23" s="408">
        <v>15.5</v>
      </c>
      <c r="M23" s="408">
        <v>10.4</v>
      </c>
      <c r="N23" s="504">
        <v>16.100000000000001</v>
      </c>
      <c r="O23" s="407">
        <v>7.3</v>
      </c>
      <c r="P23" s="408">
        <v>10.9</v>
      </c>
      <c r="Q23" s="408">
        <v>10.6</v>
      </c>
      <c r="R23" s="504">
        <v>12.4</v>
      </c>
      <c r="S23" s="407">
        <v>9.6999999999999993</v>
      </c>
      <c r="T23" s="408">
        <v>13.2</v>
      </c>
      <c r="U23" s="408">
        <v>8.1999999999999993</v>
      </c>
      <c r="V23" s="504">
        <v>10.1</v>
      </c>
      <c r="W23" s="407">
        <v>6.8</v>
      </c>
      <c r="X23" s="408">
        <v>11.2</v>
      </c>
      <c r="Y23" s="408">
        <v>7.6000000000000014</v>
      </c>
      <c r="Z23" s="504">
        <v>10.1</v>
      </c>
      <c r="AA23" s="407">
        <v>9</v>
      </c>
      <c r="AB23" s="408">
        <v>7.8</v>
      </c>
      <c r="AC23" s="408">
        <v>9.3000000000000007</v>
      </c>
      <c r="AD23" s="504">
        <v>12</v>
      </c>
      <c r="AE23" s="407">
        <v>11.2</v>
      </c>
      <c r="AF23" s="408">
        <v>1.1000000000000001</v>
      </c>
      <c r="AG23" s="408">
        <v>0</v>
      </c>
      <c r="AH23" s="504">
        <v>0</v>
      </c>
      <c r="AI23" s="407">
        <v>0</v>
      </c>
      <c r="AJ23" s="408">
        <v>0</v>
      </c>
      <c r="AK23" s="408">
        <v>0</v>
      </c>
      <c r="AL23" s="504">
        <v>0</v>
      </c>
      <c r="AM23" s="407">
        <v>0</v>
      </c>
      <c r="AN23" s="408">
        <v>0</v>
      </c>
      <c r="AO23" s="408">
        <v>0</v>
      </c>
      <c r="AP23" s="504">
        <v>0</v>
      </c>
      <c r="AQ23" s="407">
        <v>0</v>
      </c>
      <c r="AR23" s="408">
        <v>0</v>
      </c>
      <c r="AS23" s="408">
        <v>0</v>
      </c>
      <c r="AT23" s="504">
        <v>0</v>
      </c>
      <c r="AU23" s="407">
        <v>0</v>
      </c>
      <c r="AV23" s="408">
        <v>0</v>
      </c>
      <c r="AW23" s="408">
        <v>-0.2</v>
      </c>
      <c r="AX23" s="408">
        <v>-0.1</v>
      </c>
      <c r="AY23" s="407">
        <v>-0.1</v>
      </c>
      <c r="AZ23" s="408">
        <v>-0.1</v>
      </c>
      <c r="BA23" s="408">
        <v>2.8</v>
      </c>
      <c r="BB23" s="408">
        <v>4</v>
      </c>
      <c r="BC23" s="407">
        <v>4.4000000000000004</v>
      </c>
      <c r="BD23" s="408">
        <v>4</v>
      </c>
      <c r="BE23" s="408">
        <v>3.7</v>
      </c>
      <c r="BF23" s="408">
        <v>4</v>
      </c>
    </row>
    <row r="24" spans="1:58" s="511" customFormat="1">
      <c r="A24" s="509" t="s">
        <v>165</v>
      </c>
      <c r="B24" s="509" t="s">
        <v>6</v>
      </c>
      <c r="C24" s="405">
        <f t="shared" ref="C24:AL24" si="19">C18-C19-C21+C23</f>
        <v>209.40000000000006</v>
      </c>
      <c r="D24" s="406">
        <f t="shared" si="19"/>
        <v>203.90000000000018</v>
      </c>
      <c r="E24" s="406">
        <f t="shared" si="19"/>
        <v>249.79999999999995</v>
      </c>
      <c r="F24" s="406">
        <f t="shared" si="19"/>
        <v>123.89999999999992</v>
      </c>
      <c r="G24" s="405">
        <f t="shared" si="19"/>
        <v>214.3000000000001</v>
      </c>
      <c r="H24" s="406">
        <f t="shared" si="19"/>
        <v>294.59999999999991</v>
      </c>
      <c r="I24" s="406">
        <f t="shared" si="19"/>
        <v>205.30000000000007</v>
      </c>
      <c r="J24" s="510">
        <f t="shared" si="19"/>
        <v>-151.19999999999996</v>
      </c>
      <c r="K24" s="405">
        <f t="shared" si="19"/>
        <v>102.89999999999988</v>
      </c>
      <c r="L24" s="406">
        <f t="shared" si="19"/>
        <v>228.7</v>
      </c>
      <c r="M24" s="406">
        <f t="shared" si="19"/>
        <v>256.99999999999994</v>
      </c>
      <c r="N24" s="510">
        <f t="shared" si="19"/>
        <v>149.6999999999999</v>
      </c>
      <c r="O24" s="405">
        <f t="shared" si="19"/>
        <v>219.49999999999997</v>
      </c>
      <c r="P24" s="406">
        <f t="shared" si="19"/>
        <v>236.20000000000002</v>
      </c>
      <c r="Q24" s="406">
        <f t="shared" si="19"/>
        <v>237.39999999999986</v>
      </c>
      <c r="R24" s="510">
        <f t="shared" si="19"/>
        <v>240.99999999999997</v>
      </c>
      <c r="S24" s="405">
        <f t="shared" si="19"/>
        <v>267.09999999999997</v>
      </c>
      <c r="T24" s="406">
        <f t="shared" si="19"/>
        <v>289.99999999999994</v>
      </c>
      <c r="U24" s="406">
        <f t="shared" si="19"/>
        <v>276.59999999999997</v>
      </c>
      <c r="V24" s="510">
        <f t="shared" si="19"/>
        <v>283.90000000000003</v>
      </c>
      <c r="W24" s="405">
        <f t="shared" si="19"/>
        <v>317.60000000000008</v>
      </c>
      <c r="X24" s="406">
        <f t="shared" si="19"/>
        <v>207.29999999999995</v>
      </c>
      <c r="Y24" s="406">
        <f t="shared" si="19"/>
        <v>252.69999999999985</v>
      </c>
      <c r="Z24" s="510">
        <f t="shared" si="19"/>
        <v>238.50000000000003</v>
      </c>
      <c r="AA24" s="405">
        <f t="shared" si="19"/>
        <v>323.99999999999994</v>
      </c>
      <c r="AB24" s="406">
        <f t="shared" si="19"/>
        <v>267.99999999999994</v>
      </c>
      <c r="AC24" s="406">
        <f t="shared" si="19"/>
        <v>288.60000000000025</v>
      </c>
      <c r="AD24" s="510">
        <f t="shared" si="19"/>
        <v>312.3</v>
      </c>
      <c r="AE24" s="405">
        <f t="shared" si="19"/>
        <v>328.49999999999983</v>
      </c>
      <c r="AF24" s="406">
        <f t="shared" si="19"/>
        <v>383.90000000000003</v>
      </c>
      <c r="AG24" s="406">
        <f t="shared" si="19"/>
        <v>342.60000000000019</v>
      </c>
      <c r="AH24" s="406">
        <f t="shared" si="19"/>
        <v>292.39999999999998</v>
      </c>
      <c r="AI24" s="405">
        <f t="shared" si="19"/>
        <v>326.09999999999997</v>
      </c>
      <c r="AJ24" s="406">
        <f t="shared" si="19"/>
        <v>414.8</v>
      </c>
      <c r="AK24" s="406">
        <f t="shared" si="19"/>
        <v>395.3</v>
      </c>
      <c r="AL24" s="406">
        <f t="shared" si="19"/>
        <v>254.10000000000002</v>
      </c>
      <c r="AM24" s="405">
        <f t="shared" ref="AM24:AT24" si="20">AM18-AM19-AM21+AM23-AM20</f>
        <v>337.4</v>
      </c>
      <c r="AN24" s="406">
        <f t="shared" si="20"/>
        <v>524.90000000000009</v>
      </c>
      <c r="AO24" s="406">
        <f t="shared" si="20"/>
        <v>433.60000000000025</v>
      </c>
      <c r="AP24" s="406">
        <f>AP18-AP19-AP21+AP23-AP20</f>
        <v>348.59999999999985</v>
      </c>
      <c r="AQ24" s="405">
        <f t="shared" si="20"/>
        <v>413.9</v>
      </c>
      <c r="AR24" s="406">
        <f t="shared" si="20"/>
        <v>475.99999999999989</v>
      </c>
      <c r="AS24" s="406">
        <f t="shared" si="20"/>
        <v>492.09999999999957</v>
      </c>
      <c r="AT24" s="406">
        <f t="shared" si="20"/>
        <v>500.00000000000017</v>
      </c>
      <c r="AU24" s="405">
        <f t="shared" ref="AU24:AZ24" si="21">AU18-AU19+AU23-AU20-AU22</f>
        <v>446.29999999999978</v>
      </c>
      <c r="AV24" s="406">
        <f t="shared" si="21"/>
        <v>489.40000000000038</v>
      </c>
      <c r="AW24" s="406">
        <f t="shared" si="21"/>
        <v>500.0999999999998</v>
      </c>
      <c r="AX24" s="406">
        <f t="shared" si="21"/>
        <v>595.10000000000025</v>
      </c>
      <c r="AY24" s="405">
        <f t="shared" si="21"/>
        <v>438.00000000000023</v>
      </c>
      <c r="AZ24" s="406">
        <f t="shared" si="21"/>
        <v>625.79999999999973</v>
      </c>
      <c r="BA24" s="406">
        <f t="shared" ref="BA24:BC24" si="22">BA18-BA19+BA23-BA20-BA22</f>
        <v>576</v>
      </c>
      <c r="BB24" s="406">
        <f t="shared" si="22"/>
        <v>617.99999999999977</v>
      </c>
      <c r="BC24" s="405">
        <f t="shared" si="22"/>
        <v>376.99999999999994</v>
      </c>
      <c r="BD24" s="406">
        <f t="shared" ref="BD24:BF24" si="23">BD18-BD19+BD23-BD20-BD22</f>
        <v>440.10000000000036</v>
      </c>
      <c r="BE24" s="406">
        <f t="shared" si="23"/>
        <v>618.10000000000036</v>
      </c>
      <c r="BF24" s="406">
        <f t="shared" si="23"/>
        <v>476.50000000000023</v>
      </c>
    </row>
    <row r="25" spans="1:58" s="511" customFormat="1">
      <c r="A25" s="518" t="s">
        <v>166</v>
      </c>
      <c r="B25" s="518" t="s">
        <v>7</v>
      </c>
      <c r="C25" s="407">
        <v>38.6</v>
      </c>
      <c r="D25" s="408">
        <v>34.4</v>
      </c>
      <c r="E25" s="408">
        <v>50.8</v>
      </c>
      <c r="F25" s="408">
        <v>26.4</v>
      </c>
      <c r="G25" s="407">
        <v>40.5</v>
      </c>
      <c r="H25" s="408">
        <v>60.9</v>
      </c>
      <c r="I25" s="408">
        <v>38.4</v>
      </c>
      <c r="J25" s="504">
        <v>-22.2</v>
      </c>
      <c r="K25" s="407">
        <v>22.1</v>
      </c>
      <c r="L25" s="408">
        <v>46</v>
      </c>
      <c r="M25" s="408">
        <v>46.2</v>
      </c>
      <c r="N25" s="504">
        <v>28.9</v>
      </c>
      <c r="O25" s="407">
        <v>42</v>
      </c>
      <c r="P25" s="408">
        <v>44.7</v>
      </c>
      <c r="Q25" s="408">
        <v>45</v>
      </c>
      <c r="R25" s="504">
        <v>49.3</v>
      </c>
      <c r="S25" s="407">
        <v>54.6</v>
      </c>
      <c r="T25" s="408">
        <v>56.1</v>
      </c>
      <c r="U25" s="408">
        <f>56.5</f>
        <v>56.5</v>
      </c>
      <c r="V25" s="504">
        <v>70.3</v>
      </c>
      <c r="W25" s="407">
        <v>46.1</v>
      </c>
      <c r="X25" s="408">
        <v>39.700000000000003</v>
      </c>
      <c r="Y25" s="408">
        <v>49.5</v>
      </c>
      <c r="Z25" s="504">
        <v>48.5</v>
      </c>
      <c r="AA25" s="407">
        <f>63.8+0.3+0.3-0.1</f>
        <v>64.3</v>
      </c>
      <c r="AB25" s="408">
        <f>52.2-0.1-1</f>
        <v>51.1</v>
      </c>
      <c r="AC25" s="408">
        <f>53.5+0.7</f>
        <v>54.2</v>
      </c>
      <c r="AD25" s="504">
        <f>63.4-1.4-0.2</f>
        <v>61.8</v>
      </c>
      <c r="AE25" s="407">
        <v>73.900000000000006</v>
      </c>
      <c r="AF25" s="408">
        <v>101.5</v>
      </c>
      <c r="AG25" s="408">
        <v>69.5</v>
      </c>
      <c r="AH25" s="504">
        <v>61.7</v>
      </c>
      <c r="AI25" s="407">
        <v>65.099999999999994</v>
      </c>
      <c r="AJ25" s="408">
        <v>70.099999999999994</v>
      </c>
      <c r="AK25" s="408">
        <v>79.599999999999994</v>
      </c>
      <c r="AL25" s="504">
        <v>48.4</v>
      </c>
      <c r="AM25" s="407">
        <v>78.2</v>
      </c>
      <c r="AN25" s="408">
        <v>118</v>
      </c>
      <c r="AO25" s="408">
        <v>101.6</v>
      </c>
      <c r="AP25" s="504">
        <v>93.6</v>
      </c>
      <c r="AQ25" s="407">
        <v>113.6</v>
      </c>
      <c r="AR25" s="408">
        <v>115.7</v>
      </c>
      <c r="AS25" s="408">
        <v>116.4</v>
      </c>
      <c r="AT25" s="504">
        <v>133.19999999999999</v>
      </c>
      <c r="AU25" s="407">
        <v>124.1</v>
      </c>
      <c r="AV25" s="408">
        <v>117.7</v>
      </c>
      <c r="AW25" s="408">
        <v>121.8</v>
      </c>
      <c r="AX25" s="408">
        <v>143.5</v>
      </c>
      <c r="AY25" s="407">
        <v>113.5</v>
      </c>
      <c r="AZ25" s="408">
        <v>156.69999999999999</v>
      </c>
      <c r="BA25" s="408">
        <v>161.19999999999999</v>
      </c>
      <c r="BB25" s="408">
        <v>167.7</v>
      </c>
      <c r="BC25" s="407">
        <v>109.7</v>
      </c>
      <c r="BD25" s="408">
        <v>123.89999999999999</v>
      </c>
      <c r="BE25" s="408">
        <v>177.9</v>
      </c>
      <c r="BF25" s="408">
        <v>162.6</v>
      </c>
    </row>
    <row r="26" spans="1:58" s="511" customFormat="1">
      <c r="A26" s="519" t="s">
        <v>167</v>
      </c>
      <c r="B26" s="519" t="s">
        <v>8</v>
      </c>
      <c r="C26" s="405">
        <f>C24-C25</f>
        <v>170.80000000000007</v>
      </c>
      <c r="D26" s="406">
        <f t="shared" ref="D26:X26" si="24">D24-D25</f>
        <v>169.50000000000017</v>
      </c>
      <c r="E26" s="406">
        <f t="shared" si="24"/>
        <v>198.99999999999994</v>
      </c>
      <c r="F26" s="406">
        <f t="shared" si="24"/>
        <v>97.499999999999915</v>
      </c>
      <c r="G26" s="405">
        <f t="shared" si="24"/>
        <v>173.8000000000001</v>
      </c>
      <c r="H26" s="406">
        <f t="shared" si="24"/>
        <v>233.6999999999999</v>
      </c>
      <c r="I26" s="406">
        <f t="shared" si="24"/>
        <v>166.90000000000006</v>
      </c>
      <c r="J26" s="510">
        <f t="shared" si="24"/>
        <v>-128.99999999999997</v>
      </c>
      <c r="K26" s="405">
        <f t="shared" si="24"/>
        <v>80.799999999999869</v>
      </c>
      <c r="L26" s="406">
        <f t="shared" si="24"/>
        <v>182.7</v>
      </c>
      <c r="M26" s="406">
        <f t="shared" si="24"/>
        <v>210.79999999999995</v>
      </c>
      <c r="N26" s="510">
        <f t="shared" si="24"/>
        <v>120.7999999999999</v>
      </c>
      <c r="O26" s="405">
        <f t="shared" si="24"/>
        <v>177.49999999999997</v>
      </c>
      <c r="P26" s="406">
        <f t="shared" si="24"/>
        <v>191.5</v>
      </c>
      <c r="Q26" s="406">
        <f t="shared" si="24"/>
        <v>192.39999999999986</v>
      </c>
      <c r="R26" s="510">
        <f t="shared" si="24"/>
        <v>191.7</v>
      </c>
      <c r="S26" s="405">
        <f t="shared" si="24"/>
        <v>212.49999999999997</v>
      </c>
      <c r="T26" s="406">
        <f t="shared" si="24"/>
        <v>233.89999999999995</v>
      </c>
      <c r="U26" s="406">
        <f t="shared" si="24"/>
        <v>220.09999999999997</v>
      </c>
      <c r="V26" s="510">
        <f t="shared" si="24"/>
        <v>213.60000000000002</v>
      </c>
      <c r="W26" s="405">
        <f t="shared" si="24"/>
        <v>271.50000000000006</v>
      </c>
      <c r="X26" s="406">
        <f t="shared" si="24"/>
        <v>167.59999999999997</v>
      </c>
      <c r="Y26" s="406">
        <f t="shared" ref="Y26:AF26" si="25">Y24-Y25</f>
        <v>203.19999999999985</v>
      </c>
      <c r="Z26" s="510">
        <f t="shared" si="25"/>
        <v>190.00000000000003</v>
      </c>
      <c r="AA26" s="405">
        <f t="shared" si="25"/>
        <v>259.69999999999993</v>
      </c>
      <c r="AB26" s="406">
        <f t="shared" si="25"/>
        <v>216.89999999999995</v>
      </c>
      <c r="AC26" s="406">
        <f t="shared" si="25"/>
        <v>234.40000000000026</v>
      </c>
      <c r="AD26" s="510">
        <f t="shared" si="25"/>
        <v>250.5</v>
      </c>
      <c r="AE26" s="405">
        <f t="shared" si="25"/>
        <v>254.59999999999982</v>
      </c>
      <c r="AF26" s="406">
        <f t="shared" si="25"/>
        <v>282.40000000000003</v>
      </c>
      <c r="AG26" s="406">
        <f t="shared" ref="AG26:AL26" si="26">AG24-AG25</f>
        <v>273.10000000000019</v>
      </c>
      <c r="AH26" s="406">
        <f t="shared" si="26"/>
        <v>230.7</v>
      </c>
      <c r="AI26" s="405">
        <f t="shared" si="26"/>
        <v>261</v>
      </c>
      <c r="AJ26" s="406">
        <f t="shared" si="26"/>
        <v>344.70000000000005</v>
      </c>
      <c r="AK26" s="406">
        <f t="shared" si="26"/>
        <v>315.70000000000005</v>
      </c>
      <c r="AL26" s="406">
        <f t="shared" si="26"/>
        <v>205.70000000000002</v>
      </c>
      <c r="AM26" s="405">
        <f t="shared" ref="AM26:AU26" si="27">AM24-AM25</f>
        <v>259.2</v>
      </c>
      <c r="AN26" s="406">
        <f t="shared" si="27"/>
        <v>406.90000000000009</v>
      </c>
      <c r="AO26" s="406">
        <f t="shared" si="27"/>
        <v>332.00000000000023</v>
      </c>
      <c r="AP26" s="406">
        <f t="shared" si="27"/>
        <v>254.99999999999986</v>
      </c>
      <c r="AQ26" s="405">
        <f t="shared" si="27"/>
        <v>300.29999999999995</v>
      </c>
      <c r="AR26" s="406">
        <f t="shared" si="27"/>
        <v>360.2999999999999</v>
      </c>
      <c r="AS26" s="406">
        <f t="shared" si="27"/>
        <v>375.69999999999959</v>
      </c>
      <c r="AT26" s="406">
        <f>AT24-AT25</f>
        <v>366.80000000000018</v>
      </c>
      <c r="AU26" s="405">
        <f t="shared" si="27"/>
        <v>322.19999999999982</v>
      </c>
      <c r="AV26" s="406">
        <f>AV24-AV25</f>
        <v>371.70000000000039</v>
      </c>
      <c r="AW26" s="406">
        <f>AW24-AW25</f>
        <v>378.29999999999978</v>
      </c>
      <c r="AX26" s="406">
        <f>AX24-AX25</f>
        <v>451.60000000000025</v>
      </c>
      <c r="AY26" s="405">
        <f t="shared" ref="AY26:AZ26" si="28">AY24-AY25</f>
        <v>324.50000000000023</v>
      </c>
      <c r="AZ26" s="406">
        <f t="shared" si="28"/>
        <v>469.09999999999974</v>
      </c>
      <c r="BA26" s="406">
        <f t="shared" ref="BA26:BC26" si="29">BA24-BA25</f>
        <v>414.8</v>
      </c>
      <c r="BB26" s="406">
        <f t="shared" si="29"/>
        <v>450.29999999999978</v>
      </c>
      <c r="BC26" s="405">
        <f t="shared" si="29"/>
        <v>267.29999999999995</v>
      </c>
      <c r="BD26" s="406">
        <f t="shared" ref="BD26:BF26" si="30">BD24-BD25</f>
        <v>316.20000000000039</v>
      </c>
      <c r="BE26" s="406">
        <f t="shared" si="30"/>
        <v>440.20000000000039</v>
      </c>
      <c r="BF26" s="406">
        <f t="shared" si="30"/>
        <v>313.9000000000002</v>
      </c>
    </row>
    <row r="27" spans="1:58" s="16" customFormat="1">
      <c r="A27" s="36" t="s">
        <v>682</v>
      </c>
      <c r="B27" s="36" t="s">
        <v>337</v>
      </c>
      <c r="C27" s="74">
        <f>C26-C28</f>
        <v>167.40000000000006</v>
      </c>
      <c r="D27" s="75">
        <f t="shared" ref="D27:V27" si="31">D26-D28</f>
        <v>167.80000000000018</v>
      </c>
      <c r="E27" s="75">
        <f t="shared" si="31"/>
        <v>197.99999999999994</v>
      </c>
      <c r="F27" s="75">
        <f t="shared" si="31"/>
        <v>97.499999999999915</v>
      </c>
      <c r="G27" s="74">
        <f t="shared" si="31"/>
        <v>173.8000000000001</v>
      </c>
      <c r="H27" s="75">
        <f t="shared" si="31"/>
        <v>233.6999999999999</v>
      </c>
      <c r="I27" s="75">
        <f t="shared" si="31"/>
        <v>166.90000000000006</v>
      </c>
      <c r="J27" s="76">
        <f t="shared" si="31"/>
        <v>-128.99999999999997</v>
      </c>
      <c r="K27" s="75">
        <f t="shared" si="31"/>
        <v>80.799999999999869</v>
      </c>
      <c r="L27" s="75">
        <f t="shared" si="31"/>
        <v>182.7</v>
      </c>
      <c r="M27" s="75">
        <f t="shared" si="31"/>
        <v>210.79999999999995</v>
      </c>
      <c r="N27" s="75">
        <f t="shared" si="31"/>
        <v>120.7999999999999</v>
      </c>
      <c r="O27" s="74">
        <f t="shared" si="31"/>
        <v>177.49999999999997</v>
      </c>
      <c r="P27" s="75">
        <f t="shared" si="31"/>
        <v>191.5</v>
      </c>
      <c r="Q27" s="75">
        <f t="shared" si="31"/>
        <v>192.39999999999986</v>
      </c>
      <c r="R27" s="76">
        <f t="shared" si="31"/>
        <v>191.7</v>
      </c>
      <c r="S27" s="74">
        <f t="shared" si="31"/>
        <v>212.49999999999997</v>
      </c>
      <c r="T27" s="75">
        <f t="shared" si="31"/>
        <v>233.89999999999995</v>
      </c>
      <c r="U27" s="75">
        <f t="shared" si="31"/>
        <v>220.09999999999997</v>
      </c>
      <c r="V27" s="76">
        <f t="shared" si="31"/>
        <v>213.60000000000002</v>
      </c>
      <c r="W27" s="74">
        <f t="shared" ref="W27:AB27" si="32">W26-W28</f>
        <v>271.50000000000006</v>
      </c>
      <c r="X27" s="75">
        <f t="shared" si="32"/>
        <v>167.59999999999997</v>
      </c>
      <c r="Y27" s="75">
        <f t="shared" si="32"/>
        <v>203.19999999999985</v>
      </c>
      <c r="Z27" s="76">
        <f t="shared" si="32"/>
        <v>190.00000000000003</v>
      </c>
      <c r="AA27" s="74">
        <f t="shared" si="32"/>
        <v>259.69999999999993</v>
      </c>
      <c r="AB27" s="75">
        <f t="shared" si="32"/>
        <v>216.89999999999995</v>
      </c>
      <c r="AC27" s="75">
        <f t="shared" ref="AC27:AI27" si="33">AC26-AC28</f>
        <v>234.40000000000026</v>
      </c>
      <c r="AD27" s="76">
        <f t="shared" si="33"/>
        <v>250.5</v>
      </c>
      <c r="AE27" s="74">
        <f t="shared" si="33"/>
        <v>254.59999999999982</v>
      </c>
      <c r="AF27" s="75">
        <f t="shared" si="33"/>
        <v>282.3</v>
      </c>
      <c r="AG27" s="75">
        <f t="shared" si="33"/>
        <v>273.00000000000017</v>
      </c>
      <c r="AH27" s="75">
        <f>AH26-AH28</f>
        <v>230.79999999999998</v>
      </c>
      <c r="AI27" s="74">
        <f t="shared" si="33"/>
        <v>261</v>
      </c>
      <c r="AJ27" s="75">
        <f t="shared" ref="AJ27:AV27" si="34">AJ26-AJ28</f>
        <v>344.6</v>
      </c>
      <c r="AK27" s="75">
        <f t="shared" si="34"/>
        <v>315.70000000000005</v>
      </c>
      <c r="AL27" s="75">
        <f t="shared" si="34"/>
        <v>205.70000000000002</v>
      </c>
      <c r="AM27" s="74">
        <f t="shared" si="34"/>
        <v>259.2</v>
      </c>
      <c r="AN27" s="75">
        <f t="shared" si="34"/>
        <v>406.90000000000009</v>
      </c>
      <c r="AO27" s="75">
        <f t="shared" si="34"/>
        <v>332.00000000000023</v>
      </c>
      <c r="AP27" s="75">
        <f t="shared" si="34"/>
        <v>254.89999999999986</v>
      </c>
      <c r="AQ27" s="74">
        <f t="shared" si="34"/>
        <v>300.29999999999995</v>
      </c>
      <c r="AR27" s="75">
        <f t="shared" si="34"/>
        <v>360.2999999999999</v>
      </c>
      <c r="AS27" s="75">
        <f t="shared" si="34"/>
        <v>375.69999999999959</v>
      </c>
      <c r="AT27" s="75">
        <f>AT26-AT28</f>
        <v>366.80000000000018</v>
      </c>
      <c r="AU27" s="74">
        <f t="shared" si="34"/>
        <v>322.19999999999982</v>
      </c>
      <c r="AV27" s="75">
        <f t="shared" si="34"/>
        <v>371.70000000000039</v>
      </c>
      <c r="AW27" s="75">
        <f t="shared" ref="AW27:AY27" si="35">AW26-AW28</f>
        <v>378.29999999999978</v>
      </c>
      <c r="AX27" s="75">
        <f t="shared" si="35"/>
        <v>451.60000000000025</v>
      </c>
      <c r="AY27" s="74">
        <f t="shared" si="35"/>
        <v>324.50000000000023</v>
      </c>
      <c r="AZ27" s="75">
        <f t="shared" ref="AZ27:BA27" si="36">AZ26-AZ28</f>
        <v>469.09999999999974</v>
      </c>
      <c r="BA27" s="75">
        <f t="shared" si="36"/>
        <v>414.8</v>
      </c>
      <c r="BB27" s="75">
        <f t="shared" ref="BB27:BC27" si="37">BB26-BB28</f>
        <v>450.29999999999978</v>
      </c>
      <c r="BC27" s="74">
        <f t="shared" si="37"/>
        <v>267.29999999999995</v>
      </c>
      <c r="BD27" s="75">
        <f t="shared" ref="BD27:BF27" si="38">BD26-BD28</f>
        <v>316.20000000000039</v>
      </c>
      <c r="BE27" s="75">
        <f t="shared" si="38"/>
        <v>440.20000000000039</v>
      </c>
      <c r="BF27" s="75">
        <f t="shared" si="38"/>
        <v>313.9000000000002</v>
      </c>
    </row>
    <row r="28" spans="1:58" s="520" customFormat="1">
      <c r="A28" s="412" t="s">
        <v>168</v>
      </c>
      <c r="B28" s="412" t="s">
        <v>9</v>
      </c>
      <c r="C28" s="407">
        <v>3.4</v>
      </c>
      <c r="D28" s="408">
        <v>1.7</v>
      </c>
      <c r="E28" s="408">
        <v>1</v>
      </c>
      <c r="F28" s="408">
        <v>0</v>
      </c>
      <c r="G28" s="407">
        <v>0</v>
      </c>
      <c r="H28" s="408">
        <v>0</v>
      </c>
      <c r="I28" s="408">
        <v>0</v>
      </c>
      <c r="J28" s="504">
        <v>0</v>
      </c>
      <c r="K28" s="407">
        <v>0</v>
      </c>
      <c r="L28" s="408">
        <v>0</v>
      </c>
      <c r="M28" s="408">
        <v>0</v>
      </c>
      <c r="N28" s="504">
        <v>0</v>
      </c>
      <c r="O28" s="407">
        <v>0</v>
      </c>
      <c r="P28" s="408">
        <v>0</v>
      </c>
      <c r="Q28" s="408">
        <v>0</v>
      </c>
      <c r="R28" s="504">
        <v>0</v>
      </c>
      <c r="S28" s="407">
        <v>0</v>
      </c>
      <c r="T28" s="408">
        <v>0</v>
      </c>
      <c r="U28" s="408">
        <v>0</v>
      </c>
      <c r="V28" s="504">
        <v>0</v>
      </c>
      <c r="W28" s="407">
        <v>0</v>
      </c>
      <c r="X28" s="408">
        <v>0</v>
      </c>
      <c r="Y28" s="408">
        <v>0</v>
      </c>
      <c r="Z28" s="504">
        <v>0</v>
      </c>
      <c r="AA28" s="407">
        <v>0</v>
      </c>
      <c r="AB28" s="408">
        <v>0</v>
      </c>
      <c r="AC28" s="408">
        <v>0</v>
      </c>
      <c r="AD28" s="504">
        <v>0</v>
      </c>
      <c r="AE28" s="407">
        <v>0</v>
      </c>
      <c r="AF28" s="408">
        <v>0.1</v>
      </c>
      <c r="AG28" s="408">
        <v>0.1</v>
      </c>
      <c r="AH28" s="504">
        <v>-0.1</v>
      </c>
      <c r="AI28" s="407">
        <v>0</v>
      </c>
      <c r="AJ28" s="408">
        <v>0.1</v>
      </c>
      <c r="AK28" s="408">
        <v>0</v>
      </c>
      <c r="AL28" s="504">
        <v>0</v>
      </c>
      <c r="AM28" s="407">
        <v>0</v>
      </c>
      <c r="AN28" s="408">
        <v>0</v>
      </c>
      <c r="AO28" s="408">
        <v>0</v>
      </c>
      <c r="AP28" s="504">
        <v>0.1</v>
      </c>
      <c r="AQ28" s="407">
        <v>0</v>
      </c>
      <c r="AR28" s="408">
        <v>0</v>
      </c>
      <c r="AS28" s="408">
        <v>0</v>
      </c>
      <c r="AT28" s="504">
        <v>0</v>
      </c>
      <c r="AU28" s="407">
        <v>0</v>
      </c>
      <c r="AV28" s="408">
        <v>0</v>
      </c>
      <c r="AW28" s="408">
        <v>0</v>
      </c>
      <c r="AX28" s="408">
        <v>0</v>
      </c>
      <c r="AY28" s="407">
        <v>0</v>
      </c>
      <c r="AZ28" s="408">
        <v>0</v>
      </c>
      <c r="BA28" s="408">
        <v>0</v>
      </c>
      <c r="BB28" s="408">
        <v>0</v>
      </c>
      <c r="BC28" s="407">
        <v>0</v>
      </c>
      <c r="BD28" s="408">
        <v>0</v>
      </c>
      <c r="BE28" s="408">
        <v>0</v>
      </c>
      <c r="BF28" s="408">
        <v>0</v>
      </c>
    </row>
    <row r="29" spans="1:58" s="520" customFormat="1">
      <c r="A29" s="521"/>
      <c r="B29" s="521"/>
      <c r="C29" s="522"/>
      <c r="D29" s="522"/>
      <c r="E29" s="522"/>
      <c r="F29" s="522"/>
      <c r="G29" s="522"/>
      <c r="H29" s="522"/>
      <c r="I29" s="522"/>
      <c r="J29" s="522"/>
      <c r="K29" s="522"/>
      <c r="L29" s="522"/>
      <c r="M29" s="522"/>
      <c r="N29" s="522"/>
      <c r="O29" s="522"/>
      <c r="P29" s="522"/>
      <c r="Q29" s="522"/>
      <c r="R29" s="522"/>
      <c r="S29" s="522"/>
      <c r="T29" s="522"/>
      <c r="U29" s="522"/>
      <c r="V29" s="522"/>
      <c r="W29" s="522"/>
      <c r="X29" s="522"/>
      <c r="Y29" s="522"/>
      <c r="Z29" s="522"/>
      <c r="AA29" s="522"/>
      <c r="AB29" s="522"/>
      <c r="AC29" s="522"/>
      <c r="AD29" s="522"/>
      <c r="AE29" s="522"/>
      <c r="AF29" s="522"/>
      <c r="AG29" s="523"/>
      <c r="AH29" s="523"/>
      <c r="AI29" s="523"/>
      <c r="AJ29" s="522"/>
      <c r="AK29" s="522"/>
      <c r="AL29" s="522"/>
      <c r="AM29" s="523"/>
      <c r="AN29" s="522"/>
      <c r="AO29" s="522"/>
      <c r="AP29" s="522"/>
      <c r="AQ29" s="522"/>
      <c r="AR29" s="522"/>
      <c r="AS29" s="522"/>
      <c r="AT29" s="522"/>
      <c r="AU29" s="522"/>
      <c r="AV29" s="522"/>
      <c r="AW29" s="522"/>
      <c r="AX29" s="522"/>
      <c r="AY29" s="522"/>
      <c r="AZ29" s="522"/>
      <c r="BA29" s="522"/>
      <c r="BB29" s="522"/>
      <c r="BC29" s="522"/>
      <c r="BD29" s="522"/>
      <c r="BE29" s="522"/>
      <c r="BF29" s="522"/>
    </row>
    <row r="30" spans="1:58" s="511" customFormat="1">
      <c r="A30" s="509" t="s">
        <v>915</v>
      </c>
      <c r="B30" s="509" t="s">
        <v>928</v>
      </c>
      <c r="C30" s="405"/>
      <c r="D30" s="406"/>
      <c r="E30" s="406"/>
      <c r="F30" s="406"/>
      <c r="G30" s="405"/>
      <c r="H30" s="406"/>
      <c r="I30" s="406"/>
      <c r="J30" s="510"/>
      <c r="K30" s="405"/>
      <c r="L30" s="406"/>
      <c r="M30" s="406"/>
      <c r="N30" s="510"/>
      <c r="O30" s="405"/>
      <c r="P30" s="406"/>
      <c r="Q30" s="406"/>
      <c r="R30" s="510"/>
      <c r="S30" s="405"/>
      <c r="T30" s="406"/>
      <c r="U30" s="406"/>
      <c r="V30" s="510"/>
      <c r="W30" s="405"/>
      <c r="X30" s="406"/>
      <c r="Y30" s="406"/>
      <c r="Z30" s="510"/>
      <c r="AA30" s="405"/>
      <c r="AB30" s="406"/>
      <c r="AC30" s="406"/>
      <c r="AD30" s="510"/>
      <c r="AE30" s="405"/>
      <c r="AF30" s="406"/>
      <c r="AG30" s="406"/>
      <c r="AH30" s="406"/>
      <c r="AI30" s="405"/>
      <c r="AJ30" s="406"/>
      <c r="AK30" s="406"/>
      <c r="AL30" s="406"/>
      <c r="AM30" s="405"/>
      <c r="AN30" s="406"/>
      <c r="AO30" s="406"/>
      <c r="AP30" s="406"/>
      <c r="AQ30" s="405"/>
      <c r="AR30" s="406"/>
      <c r="AS30" s="406"/>
      <c r="AT30" s="406"/>
      <c r="AU30" s="405">
        <f t="shared" ref="AU30:BE30" si="39">AU27</f>
        <v>322.19999999999982</v>
      </c>
      <c r="AV30" s="406">
        <f t="shared" si="39"/>
        <v>371.70000000000039</v>
      </c>
      <c r="AW30" s="406">
        <f t="shared" si="39"/>
        <v>378.29999999999978</v>
      </c>
      <c r="AX30" s="406">
        <f t="shared" si="39"/>
        <v>451.60000000000025</v>
      </c>
      <c r="AY30" s="405">
        <f t="shared" si="39"/>
        <v>324.50000000000023</v>
      </c>
      <c r="AZ30" s="406">
        <f t="shared" si="39"/>
        <v>469.09999999999974</v>
      </c>
      <c r="BA30" s="406">
        <f t="shared" si="39"/>
        <v>414.8</v>
      </c>
      <c r="BB30" s="406">
        <f t="shared" si="39"/>
        <v>450.29999999999978</v>
      </c>
      <c r="BC30" s="405">
        <f t="shared" si="39"/>
        <v>267.29999999999995</v>
      </c>
      <c r="BD30" s="406">
        <f t="shared" si="39"/>
        <v>316.20000000000039</v>
      </c>
      <c r="BE30" s="406">
        <f t="shared" si="39"/>
        <v>440.20000000000039</v>
      </c>
      <c r="BF30" s="406">
        <f>BF27</f>
        <v>313.9000000000002</v>
      </c>
    </row>
    <row r="31" spans="1:58" s="511" customFormat="1">
      <c r="A31" s="509" t="s">
        <v>916</v>
      </c>
      <c r="B31" s="509" t="s">
        <v>929</v>
      </c>
      <c r="C31" s="405"/>
      <c r="D31" s="406"/>
      <c r="E31" s="406"/>
      <c r="F31" s="406"/>
      <c r="G31" s="405"/>
      <c r="H31" s="406"/>
      <c r="I31" s="406"/>
      <c r="J31" s="510"/>
      <c r="K31" s="405"/>
      <c r="L31" s="406"/>
      <c r="M31" s="406"/>
      <c r="N31" s="510"/>
      <c r="O31" s="405"/>
      <c r="P31" s="406"/>
      <c r="Q31" s="406"/>
      <c r="R31" s="510"/>
      <c r="S31" s="405"/>
      <c r="T31" s="406"/>
      <c r="U31" s="406"/>
      <c r="V31" s="510"/>
      <c r="W31" s="405"/>
      <c r="X31" s="406"/>
      <c r="Y31" s="406"/>
      <c r="Z31" s="510"/>
      <c r="AA31" s="405"/>
      <c r="AB31" s="406"/>
      <c r="AC31" s="406"/>
      <c r="AD31" s="510"/>
      <c r="AE31" s="405"/>
      <c r="AF31" s="406"/>
      <c r="AG31" s="406"/>
      <c r="AH31" s="406"/>
      <c r="AI31" s="405"/>
      <c r="AJ31" s="406"/>
      <c r="AK31" s="406"/>
      <c r="AL31" s="406"/>
      <c r="AM31" s="405"/>
      <c r="AN31" s="406"/>
      <c r="AO31" s="406"/>
      <c r="AP31" s="406"/>
      <c r="AQ31" s="405"/>
      <c r="AR31" s="406"/>
      <c r="AS31" s="406"/>
      <c r="AT31" s="406"/>
      <c r="AU31" s="405">
        <f t="shared" ref="AU31:BE31" si="40">AU32+AU37</f>
        <v>189.7</v>
      </c>
      <c r="AV31" s="406">
        <f t="shared" si="40"/>
        <v>-126</v>
      </c>
      <c r="AW31" s="406">
        <f t="shared" si="40"/>
        <v>-106.39999999999999</v>
      </c>
      <c r="AX31" s="406">
        <f t="shared" si="40"/>
        <v>722.1</v>
      </c>
      <c r="AY31" s="405">
        <f t="shared" si="40"/>
        <v>222.5</v>
      </c>
      <c r="AZ31" s="406">
        <f t="shared" si="40"/>
        <v>337.3</v>
      </c>
      <c r="BA31" s="406">
        <f t="shared" si="40"/>
        <v>628.09999999999991</v>
      </c>
      <c r="BB31" s="406">
        <f t="shared" si="40"/>
        <v>-489.70000000000005</v>
      </c>
      <c r="BC31" s="405">
        <f t="shared" si="40"/>
        <v>1850.4</v>
      </c>
      <c r="BD31" s="406">
        <f t="shared" si="40"/>
        <v>578.29999999999973</v>
      </c>
      <c r="BE31" s="406">
        <f t="shared" si="40"/>
        <v>-79.900000000000105</v>
      </c>
      <c r="BF31" s="406">
        <f>BF32+BF37</f>
        <v>-291.39999999999986</v>
      </c>
    </row>
    <row r="32" spans="1:58" s="511" customFormat="1" ht="22.5">
      <c r="A32" s="509" t="s">
        <v>917</v>
      </c>
      <c r="B32" s="509" t="s">
        <v>930</v>
      </c>
      <c r="C32" s="405"/>
      <c r="D32" s="406"/>
      <c r="E32" s="406"/>
      <c r="F32" s="406"/>
      <c r="G32" s="405"/>
      <c r="H32" s="406"/>
      <c r="I32" s="406"/>
      <c r="J32" s="510"/>
      <c r="K32" s="405"/>
      <c r="L32" s="406"/>
      <c r="M32" s="406"/>
      <c r="N32" s="510"/>
      <c r="O32" s="405"/>
      <c r="P32" s="406"/>
      <c r="Q32" s="406"/>
      <c r="R32" s="510"/>
      <c r="S32" s="405"/>
      <c r="T32" s="406"/>
      <c r="U32" s="406"/>
      <c r="V32" s="510"/>
      <c r="W32" s="405"/>
      <c r="X32" s="406"/>
      <c r="Y32" s="406"/>
      <c r="Z32" s="510"/>
      <c r="AA32" s="405"/>
      <c r="AB32" s="406"/>
      <c r="AC32" s="406"/>
      <c r="AD32" s="510"/>
      <c r="AE32" s="405"/>
      <c r="AF32" s="406"/>
      <c r="AG32" s="406"/>
      <c r="AH32" s="406"/>
      <c r="AI32" s="405"/>
      <c r="AJ32" s="406"/>
      <c r="AK32" s="406"/>
      <c r="AL32" s="406"/>
      <c r="AM32" s="405"/>
      <c r="AN32" s="406"/>
      <c r="AO32" s="406"/>
      <c r="AP32" s="406"/>
      <c r="AQ32" s="405"/>
      <c r="AR32" s="406"/>
      <c r="AS32" s="406"/>
      <c r="AT32" s="406"/>
      <c r="AU32" s="405">
        <f t="shared" ref="AU32:BE32" si="41">+AU33+AU34+AU35+AU36</f>
        <v>189.7</v>
      </c>
      <c r="AV32" s="406">
        <f t="shared" si="41"/>
        <v>-126.8</v>
      </c>
      <c r="AW32" s="406">
        <f t="shared" si="41"/>
        <v>-106.3</v>
      </c>
      <c r="AX32" s="406">
        <f t="shared" si="41"/>
        <v>717.4</v>
      </c>
      <c r="AY32" s="405">
        <f t="shared" si="41"/>
        <v>198.6</v>
      </c>
      <c r="AZ32" s="406">
        <f t="shared" si="41"/>
        <v>325.90000000000003</v>
      </c>
      <c r="BA32" s="406">
        <f t="shared" si="41"/>
        <v>628.09999999999991</v>
      </c>
      <c r="BB32" s="406">
        <f t="shared" si="41"/>
        <v>-466.70000000000005</v>
      </c>
      <c r="BC32" s="405">
        <f t="shared" si="41"/>
        <v>1850.3000000000002</v>
      </c>
      <c r="BD32" s="406">
        <f t="shared" si="41"/>
        <v>572.39999999999975</v>
      </c>
      <c r="BE32" s="406">
        <f t="shared" si="41"/>
        <v>-79.900000000000105</v>
      </c>
      <c r="BF32" s="406">
        <f>+BF33+BF34+BF35+BF36</f>
        <v>-312.89999999999986</v>
      </c>
    </row>
    <row r="33" spans="1:58" s="506" customFormat="1" ht="22.5">
      <c r="A33" s="411" t="s">
        <v>920</v>
      </c>
      <c r="B33" s="411" t="s">
        <v>933</v>
      </c>
      <c r="C33" s="407"/>
      <c r="D33" s="408"/>
      <c r="E33" s="408"/>
      <c r="F33" s="408"/>
      <c r="G33" s="407"/>
      <c r="H33" s="408"/>
      <c r="I33" s="408"/>
      <c r="J33" s="504"/>
      <c r="K33" s="407"/>
      <c r="L33" s="408"/>
      <c r="M33" s="408"/>
      <c r="N33" s="504"/>
      <c r="O33" s="407"/>
      <c r="P33" s="408"/>
      <c r="Q33" s="408"/>
      <c r="R33" s="504"/>
      <c r="S33" s="407"/>
      <c r="T33" s="408"/>
      <c r="U33" s="408"/>
      <c r="V33" s="504"/>
      <c r="W33" s="407"/>
      <c r="X33" s="408"/>
      <c r="Y33" s="408"/>
      <c r="Z33" s="504"/>
      <c r="AA33" s="407"/>
      <c r="AB33" s="408"/>
      <c r="AC33" s="408"/>
      <c r="AD33" s="504"/>
      <c r="AE33" s="407"/>
      <c r="AF33" s="408"/>
      <c r="AG33" s="408"/>
      <c r="AH33" s="504"/>
      <c r="AI33" s="407"/>
      <c r="AJ33" s="408"/>
      <c r="AK33" s="408"/>
      <c r="AL33" s="504"/>
      <c r="AM33" s="407"/>
      <c r="AN33" s="408"/>
      <c r="AO33" s="408"/>
      <c r="AP33" s="504"/>
      <c r="AQ33" s="407"/>
      <c r="AR33" s="408"/>
      <c r="AS33" s="408"/>
      <c r="AT33" s="504"/>
      <c r="AU33" s="407">
        <v>57.6</v>
      </c>
      <c r="AV33" s="408">
        <v>-41.900000000000006</v>
      </c>
      <c r="AW33" s="408">
        <v>-0.19999999999999929</v>
      </c>
      <c r="AX33" s="408">
        <v>-3.4000000000000004</v>
      </c>
      <c r="AY33" s="407">
        <v>-96.1</v>
      </c>
      <c r="AZ33" s="408">
        <v>101.39999999999999</v>
      </c>
      <c r="BA33" s="408">
        <v>-6.8</v>
      </c>
      <c r="BB33" s="408">
        <v>18.8</v>
      </c>
      <c r="BC33" s="407">
        <v>-232.8</v>
      </c>
      <c r="BD33" s="408">
        <v>154.20000000000002</v>
      </c>
      <c r="BE33" s="408">
        <v>55.199999999999996</v>
      </c>
      <c r="BF33" s="408">
        <v>126.19999999999999</v>
      </c>
    </row>
    <row r="34" spans="1:58" s="506" customFormat="1" ht="22.5">
      <c r="A34" s="411" t="s">
        <v>921</v>
      </c>
      <c r="B34" s="411" t="s">
        <v>934</v>
      </c>
      <c r="C34" s="407"/>
      <c r="D34" s="408"/>
      <c r="E34" s="408"/>
      <c r="F34" s="408"/>
      <c r="G34" s="407"/>
      <c r="H34" s="408"/>
      <c r="I34" s="408"/>
      <c r="J34" s="504"/>
      <c r="K34" s="407"/>
      <c r="L34" s="408"/>
      <c r="M34" s="408"/>
      <c r="N34" s="504"/>
      <c r="O34" s="407"/>
      <c r="P34" s="408"/>
      <c r="Q34" s="408"/>
      <c r="R34" s="504"/>
      <c r="S34" s="407"/>
      <c r="T34" s="408"/>
      <c r="U34" s="408"/>
      <c r="V34" s="504"/>
      <c r="W34" s="407"/>
      <c r="X34" s="408"/>
      <c r="Y34" s="408"/>
      <c r="Z34" s="504"/>
      <c r="AA34" s="407"/>
      <c r="AB34" s="408"/>
      <c r="AC34" s="408"/>
      <c r="AD34" s="504"/>
      <c r="AE34" s="407"/>
      <c r="AF34" s="408"/>
      <c r="AG34" s="408"/>
      <c r="AH34" s="504"/>
      <c r="AI34" s="407"/>
      <c r="AJ34" s="408"/>
      <c r="AK34" s="408"/>
      <c r="AL34" s="504"/>
      <c r="AM34" s="407"/>
      <c r="AN34" s="408"/>
      <c r="AO34" s="408"/>
      <c r="AP34" s="504"/>
      <c r="AQ34" s="407"/>
      <c r="AR34" s="408"/>
      <c r="AS34" s="408"/>
      <c r="AT34" s="504"/>
      <c r="AU34" s="407">
        <v>-19.100000000000001</v>
      </c>
      <c r="AV34" s="408">
        <v>-9.5999999999999979</v>
      </c>
      <c r="AW34" s="408">
        <v>0</v>
      </c>
      <c r="AX34" s="408">
        <v>-3.1000000000000014</v>
      </c>
      <c r="AY34" s="407">
        <v>2.4</v>
      </c>
      <c r="AZ34" s="408">
        <v>-22.799999999999997</v>
      </c>
      <c r="BA34" s="408">
        <v>-2.9000000000000021</v>
      </c>
      <c r="BB34" s="408">
        <v>-0.39999999999999858</v>
      </c>
      <c r="BC34" s="407">
        <v>-1.5</v>
      </c>
      <c r="BD34" s="408">
        <v>-8.3000000000000007</v>
      </c>
      <c r="BE34" s="408">
        <v>-4.3999999999999986</v>
      </c>
      <c r="BF34" s="408">
        <v>-4.1000000000000014</v>
      </c>
    </row>
    <row r="35" spans="1:58" s="506" customFormat="1" ht="22.5">
      <c r="A35" s="411" t="s">
        <v>922</v>
      </c>
      <c r="B35" s="411" t="s">
        <v>935</v>
      </c>
      <c r="C35" s="407"/>
      <c r="D35" s="408"/>
      <c r="E35" s="408"/>
      <c r="F35" s="408"/>
      <c r="G35" s="407"/>
      <c r="H35" s="408"/>
      <c r="I35" s="408"/>
      <c r="J35" s="504"/>
      <c r="K35" s="407"/>
      <c r="L35" s="408"/>
      <c r="M35" s="408"/>
      <c r="N35" s="504"/>
      <c r="O35" s="407"/>
      <c r="P35" s="408"/>
      <c r="Q35" s="408"/>
      <c r="R35" s="504"/>
      <c r="S35" s="407"/>
      <c r="T35" s="408"/>
      <c r="U35" s="408"/>
      <c r="V35" s="504"/>
      <c r="W35" s="407"/>
      <c r="X35" s="408"/>
      <c r="Y35" s="408"/>
      <c r="Z35" s="504"/>
      <c r="AA35" s="407"/>
      <c r="AB35" s="408"/>
      <c r="AC35" s="408"/>
      <c r="AD35" s="504"/>
      <c r="AE35" s="407"/>
      <c r="AF35" s="408"/>
      <c r="AG35" s="408"/>
      <c r="AH35" s="504"/>
      <c r="AI35" s="407"/>
      <c r="AJ35" s="408"/>
      <c r="AK35" s="408"/>
      <c r="AL35" s="504"/>
      <c r="AM35" s="407"/>
      <c r="AN35" s="408"/>
      <c r="AO35" s="408"/>
      <c r="AP35" s="504"/>
      <c r="AQ35" s="407"/>
      <c r="AR35" s="408"/>
      <c r="AS35" s="408"/>
      <c r="AT35" s="504"/>
      <c r="AU35" s="407">
        <v>246.4</v>
      </c>
      <c r="AV35" s="408">
        <v>-13</v>
      </c>
      <c r="AW35" s="408">
        <v>-18</v>
      </c>
      <c r="AX35" s="408">
        <v>817.69999999999993</v>
      </c>
      <c r="AY35" s="407">
        <v>389.2</v>
      </c>
      <c r="AZ35" s="408">
        <v>348.00000000000006</v>
      </c>
      <c r="BA35" s="408">
        <v>737.09999999999991</v>
      </c>
      <c r="BB35" s="408">
        <v>-391</v>
      </c>
      <c r="BC35" s="407">
        <v>2174.4</v>
      </c>
      <c r="BD35" s="408">
        <v>547.69999999999982</v>
      </c>
      <c r="BE35" s="408">
        <v>52.599999999999909</v>
      </c>
      <c r="BF35" s="408">
        <v>-212.19999999999982</v>
      </c>
    </row>
    <row r="36" spans="1:58" s="506" customFormat="1">
      <c r="A36" s="411" t="s">
        <v>923</v>
      </c>
      <c r="B36" s="524" t="s">
        <v>936</v>
      </c>
      <c r="C36" s="407"/>
      <c r="D36" s="408"/>
      <c r="E36" s="408"/>
      <c r="F36" s="408"/>
      <c r="G36" s="407"/>
      <c r="H36" s="408"/>
      <c r="I36" s="408"/>
      <c r="J36" s="504"/>
      <c r="K36" s="407"/>
      <c r="L36" s="408"/>
      <c r="M36" s="408"/>
      <c r="N36" s="504"/>
      <c r="O36" s="407"/>
      <c r="P36" s="408"/>
      <c r="Q36" s="408"/>
      <c r="R36" s="504"/>
      <c r="S36" s="407"/>
      <c r="T36" s="408"/>
      <c r="U36" s="408"/>
      <c r="V36" s="504"/>
      <c r="W36" s="407"/>
      <c r="X36" s="408"/>
      <c r="Y36" s="408"/>
      <c r="Z36" s="504"/>
      <c r="AA36" s="407"/>
      <c r="AB36" s="408"/>
      <c r="AC36" s="408"/>
      <c r="AD36" s="504"/>
      <c r="AE36" s="407"/>
      <c r="AF36" s="408"/>
      <c r="AG36" s="408"/>
      <c r="AH36" s="504"/>
      <c r="AI36" s="407"/>
      <c r="AJ36" s="408"/>
      <c r="AK36" s="408"/>
      <c r="AL36" s="504"/>
      <c r="AM36" s="407"/>
      <c r="AN36" s="408"/>
      <c r="AO36" s="408"/>
      <c r="AP36" s="504"/>
      <c r="AQ36" s="407"/>
      <c r="AR36" s="408"/>
      <c r="AS36" s="408"/>
      <c r="AT36" s="504"/>
      <c r="AU36" s="407">
        <v>-95.2</v>
      </c>
      <c r="AV36" s="408">
        <v>-62.3</v>
      </c>
      <c r="AW36" s="408">
        <v>-88.1</v>
      </c>
      <c r="AX36" s="408">
        <v>-93.799999999999983</v>
      </c>
      <c r="AY36" s="407">
        <v>-96.9</v>
      </c>
      <c r="AZ36" s="408">
        <v>-100.69999999999999</v>
      </c>
      <c r="BA36" s="408">
        <v>-99.299999999999983</v>
      </c>
      <c r="BB36" s="408">
        <v>-94.100000000000023</v>
      </c>
      <c r="BC36" s="407">
        <v>-89.8</v>
      </c>
      <c r="BD36" s="408">
        <v>-121.2</v>
      </c>
      <c r="BE36" s="408">
        <v>-183.3</v>
      </c>
      <c r="BF36" s="408">
        <v>-222.8</v>
      </c>
    </row>
    <row r="37" spans="1:58" s="511" customFormat="1" ht="22.5">
      <c r="A37" s="509" t="s">
        <v>918</v>
      </c>
      <c r="B37" s="509" t="s">
        <v>931</v>
      </c>
      <c r="C37" s="405"/>
      <c r="D37" s="406"/>
      <c r="E37" s="406"/>
      <c r="F37" s="406"/>
      <c r="G37" s="405"/>
      <c r="H37" s="406"/>
      <c r="I37" s="406"/>
      <c r="J37" s="510"/>
      <c r="K37" s="405"/>
      <c r="L37" s="406"/>
      <c r="M37" s="406"/>
      <c r="N37" s="510"/>
      <c r="O37" s="405"/>
      <c r="P37" s="406"/>
      <c r="Q37" s="406"/>
      <c r="R37" s="510"/>
      <c r="S37" s="405"/>
      <c r="T37" s="406"/>
      <c r="U37" s="406"/>
      <c r="V37" s="510"/>
      <c r="W37" s="405"/>
      <c r="X37" s="406"/>
      <c r="Y37" s="406"/>
      <c r="Z37" s="510"/>
      <c r="AA37" s="405"/>
      <c r="AB37" s="406"/>
      <c r="AC37" s="406"/>
      <c r="AD37" s="510"/>
      <c r="AE37" s="405"/>
      <c r="AF37" s="406"/>
      <c r="AG37" s="406"/>
      <c r="AH37" s="406"/>
      <c r="AI37" s="405"/>
      <c r="AJ37" s="406"/>
      <c r="AK37" s="406"/>
      <c r="AL37" s="406"/>
      <c r="AM37" s="405"/>
      <c r="AN37" s="406"/>
      <c r="AO37" s="406"/>
      <c r="AP37" s="406"/>
      <c r="AQ37" s="405"/>
      <c r="AR37" s="406"/>
      <c r="AS37" s="406"/>
      <c r="AT37" s="406"/>
      <c r="AU37" s="405">
        <f t="shared" ref="AU37:BE37" si="42">+AU38+AU39+AU40</f>
        <v>0</v>
      </c>
      <c r="AV37" s="406">
        <f t="shared" si="42"/>
        <v>0.8</v>
      </c>
      <c r="AW37" s="406">
        <f t="shared" si="42"/>
        <v>-0.10000000000000009</v>
      </c>
      <c r="AX37" s="406">
        <f t="shared" si="42"/>
        <v>4.6999999999999993</v>
      </c>
      <c r="AY37" s="405">
        <f t="shared" si="42"/>
        <v>23.9</v>
      </c>
      <c r="AZ37" s="406">
        <f t="shared" si="42"/>
        <v>11.399999999999999</v>
      </c>
      <c r="BA37" s="406">
        <f t="shared" si="42"/>
        <v>0</v>
      </c>
      <c r="BB37" s="406">
        <f t="shared" si="42"/>
        <v>-22.999999999999996</v>
      </c>
      <c r="BC37" s="405">
        <f t="shared" si="42"/>
        <v>0.1</v>
      </c>
      <c r="BD37" s="406">
        <f t="shared" si="42"/>
        <v>5.9</v>
      </c>
      <c r="BE37" s="406">
        <f t="shared" si="42"/>
        <v>0</v>
      </c>
      <c r="BF37" s="406">
        <f>+BF38+BF39+BF40</f>
        <v>21.5</v>
      </c>
    </row>
    <row r="38" spans="1:58" s="506" customFormat="1" ht="22.5">
      <c r="A38" s="411" t="s">
        <v>924</v>
      </c>
      <c r="B38" s="411" t="s">
        <v>937</v>
      </c>
      <c r="C38" s="407"/>
      <c r="D38" s="408"/>
      <c r="E38" s="408"/>
      <c r="F38" s="408"/>
      <c r="G38" s="407"/>
      <c r="H38" s="408"/>
      <c r="I38" s="408"/>
      <c r="J38" s="504"/>
      <c r="K38" s="407"/>
      <c r="L38" s="408"/>
      <c r="M38" s="408"/>
      <c r="N38" s="504"/>
      <c r="O38" s="407"/>
      <c r="P38" s="408"/>
      <c r="Q38" s="408"/>
      <c r="R38" s="504"/>
      <c r="S38" s="407"/>
      <c r="T38" s="408"/>
      <c r="U38" s="408"/>
      <c r="V38" s="504"/>
      <c r="W38" s="407"/>
      <c r="X38" s="408"/>
      <c r="Y38" s="408"/>
      <c r="Z38" s="504"/>
      <c r="AA38" s="407"/>
      <c r="AB38" s="408"/>
      <c r="AC38" s="408"/>
      <c r="AD38" s="504"/>
      <c r="AE38" s="407"/>
      <c r="AF38" s="408"/>
      <c r="AG38" s="408"/>
      <c r="AH38" s="504"/>
      <c r="AI38" s="407"/>
      <c r="AJ38" s="408"/>
      <c r="AK38" s="408"/>
      <c r="AL38" s="504"/>
      <c r="AM38" s="407"/>
      <c r="AN38" s="408"/>
      <c r="AO38" s="408"/>
      <c r="AP38" s="504"/>
      <c r="AQ38" s="407"/>
      <c r="AR38" s="408"/>
      <c r="AS38" s="408"/>
      <c r="AT38" s="504"/>
      <c r="AU38" s="407">
        <v>0</v>
      </c>
      <c r="AV38" s="408">
        <v>0.8</v>
      </c>
      <c r="AW38" s="408">
        <v>-0.10000000000000009</v>
      </c>
      <c r="AX38" s="408">
        <v>5.6</v>
      </c>
      <c r="AY38" s="407">
        <v>23.9</v>
      </c>
      <c r="AZ38" s="408">
        <v>11.399999999999999</v>
      </c>
      <c r="BA38" s="408">
        <v>0</v>
      </c>
      <c r="BB38" s="408">
        <v>-13.099999999999998</v>
      </c>
      <c r="BC38" s="407">
        <v>0</v>
      </c>
      <c r="BD38" s="408">
        <v>6</v>
      </c>
      <c r="BE38" s="408">
        <v>0</v>
      </c>
      <c r="BF38" s="408">
        <v>24.9</v>
      </c>
    </row>
    <row r="39" spans="1:58" s="506" customFormat="1">
      <c r="A39" s="411" t="s">
        <v>939</v>
      </c>
      <c r="B39" s="411" t="s">
        <v>926</v>
      </c>
      <c r="C39" s="407"/>
      <c r="D39" s="408"/>
      <c r="E39" s="408"/>
      <c r="F39" s="408"/>
      <c r="G39" s="407"/>
      <c r="H39" s="408"/>
      <c r="I39" s="408"/>
      <c r="J39" s="504"/>
      <c r="K39" s="407"/>
      <c r="L39" s="408"/>
      <c r="M39" s="408"/>
      <c r="N39" s="504"/>
      <c r="O39" s="407"/>
      <c r="P39" s="408"/>
      <c r="Q39" s="408"/>
      <c r="R39" s="504"/>
      <c r="S39" s="407"/>
      <c r="T39" s="408"/>
      <c r="U39" s="408"/>
      <c r="V39" s="504"/>
      <c r="W39" s="407"/>
      <c r="X39" s="408"/>
      <c r="Y39" s="408"/>
      <c r="Z39" s="504"/>
      <c r="AA39" s="407"/>
      <c r="AB39" s="408"/>
      <c r="AC39" s="408"/>
      <c r="AD39" s="504"/>
      <c r="AE39" s="407"/>
      <c r="AF39" s="408"/>
      <c r="AG39" s="408"/>
      <c r="AH39" s="504"/>
      <c r="AI39" s="407"/>
      <c r="AJ39" s="408"/>
      <c r="AK39" s="408"/>
      <c r="AL39" s="504"/>
      <c r="AM39" s="407"/>
      <c r="AN39" s="408"/>
      <c r="AO39" s="408"/>
      <c r="AP39" s="504"/>
      <c r="AQ39" s="407"/>
      <c r="AR39" s="408"/>
      <c r="AS39" s="408"/>
      <c r="AT39" s="504"/>
      <c r="AU39" s="407">
        <v>0</v>
      </c>
      <c r="AV39" s="408">
        <v>0</v>
      </c>
      <c r="AW39" s="408">
        <v>0</v>
      </c>
      <c r="AX39" s="408">
        <v>0</v>
      </c>
      <c r="AY39" s="407">
        <v>0</v>
      </c>
      <c r="AZ39" s="408">
        <v>0</v>
      </c>
      <c r="BA39" s="408">
        <v>0</v>
      </c>
      <c r="BB39" s="408">
        <v>0.3</v>
      </c>
      <c r="BC39" s="407">
        <v>0.1</v>
      </c>
      <c r="BD39" s="408">
        <v>-0.1</v>
      </c>
      <c r="BE39" s="408">
        <v>0</v>
      </c>
      <c r="BF39" s="408">
        <v>0</v>
      </c>
    </row>
    <row r="40" spans="1:58" s="506" customFormat="1">
      <c r="A40" s="411" t="s">
        <v>940</v>
      </c>
      <c r="B40" s="411" t="s">
        <v>927</v>
      </c>
      <c r="C40" s="407"/>
      <c r="D40" s="408"/>
      <c r="E40" s="408"/>
      <c r="F40" s="408"/>
      <c r="G40" s="407"/>
      <c r="H40" s="408"/>
      <c r="I40" s="408"/>
      <c r="J40" s="504"/>
      <c r="K40" s="407"/>
      <c r="L40" s="408"/>
      <c r="M40" s="408"/>
      <c r="N40" s="504"/>
      <c r="O40" s="407"/>
      <c r="P40" s="408"/>
      <c r="Q40" s="408"/>
      <c r="R40" s="504"/>
      <c r="S40" s="407"/>
      <c r="T40" s="408"/>
      <c r="U40" s="408"/>
      <c r="V40" s="504"/>
      <c r="W40" s="407"/>
      <c r="X40" s="408"/>
      <c r="Y40" s="408"/>
      <c r="Z40" s="504"/>
      <c r="AA40" s="407"/>
      <c r="AB40" s="408"/>
      <c r="AC40" s="408"/>
      <c r="AD40" s="504"/>
      <c r="AE40" s="407"/>
      <c r="AF40" s="408"/>
      <c r="AG40" s="408"/>
      <c r="AH40" s="504"/>
      <c r="AI40" s="407"/>
      <c r="AJ40" s="408"/>
      <c r="AK40" s="408"/>
      <c r="AL40" s="504"/>
      <c r="AM40" s="407"/>
      <c r="AN40" s="408"/>
      <c r="AO40" s="408"/>
      <c r="AP40" s="504"/>
      <c r="AQ40" s="407"/>
      <c r="AR40" s="408"/>
      <c r="AS40" s="408"/>
      <c r="AT40" s="504"/>
      <c r="AU40" s="407">
        <v>0</v>
      </c>
      <c r="AV40" s="408">
        <v>0</v>
      </c>
      <c r="AW40" s="408">
        <v>0</v>
      </c>
      <c r="AX40" s="408">
        <v>-0.9</v>
      </c>
      <c r="AY40" s="407">
        <v>0</v>
      </c>
      <c r="AZ40" s="408">
        <v>0</v>
      </c>
      <c r="BA40" s="408">
        <v>0</v>
      </c>
      <c r="BB40" s="408">
        <v>-10.199999999999999</v>
      </c>
      <c r="BC40" s="407">
        <v>0</v>
      </c>
      <c r="BD40" s="408">
        <v>0</v>
      </c>
      <c r="BE40" s="408">
        <v>0</v>
      </c>
      <c r="BF40" s="408">
        <v>-3.4</v>
      </c>
    </row>
    <row r="41" spans="1:58" s="511" customFormat="1">
      <c r="A41" s="509" t="s">
        <v>919</v>
      </c>
      <c r="B41" s="509" t="s">
        <v>932</v>
      </c>
      <c r="C41" s="405"/>
      <c r="D41" s="406"/>
      <c r="E41" s="406"/>
      <c r="F41" s="406"/>
      <c r="G41" s="405"/>
      <c r="H41" s="406"/>
      <c r="I41" s="406"/>
      <c r="J41" s="510"/>
      <c r="K41" s="405"/>
      <c r="L41" s="406"/>
      <c r="M41" s="406"/>
      <c r="N41" s="510"/>
      <c r="O41" s="405"/>
      <c r="P41" s="406"/>
      <c r="Q41" s="406"/>
      <c r="R41" s="510"/>
      <c r="S41" s="405"/>
      <c r="T41" s="406"/>
      <c r="U41" s="406"/>
      <c r="V41" s="510"/>
      <c r="W41" s="405"/>
      <c r="X41" s="406"/>
      <c r="Y41" s="406"/>
      <c r="Z41" s="510"/>
      <c r="AA41" s="405"/>
      <c r="AB41" s="406"/>
      <c r="AC41" s="406"/>
      <c r="AD41" s="510"/>
      <c r="AE41" s="405"/>
      <c r="AF41" s="406"/>
      <c r="AG41" s="406"/>
      <c r="AH41" s="406"/>
      <c r="AI41" s="405"/>
      <c r="AJ41" s="406"/>
      <c r="AK41" s="406"/>
      <c r="AL41" s="406"/>
      <c r="AM41" s="405"/>
      <c r="AN41" s="406"/>
      <c r="AO41" s="406"/>
      <c r="AP41" s="406"/>
      <c r="AQ41" s="405"/>
      <c r="AR41" s="406"/>
      <c r="AS41" s="406"/>
      <c r="AT41" s="406"/>
      <c r="AU41" s="405">
        <f t="shared" ref="AU41:BE41" si="43">+AU30+AU31</f>
        <v>511.89999999999981</v>
      </c>
      <c r="AV41" s="406">
        <f t="shared" si="43"/>
        <v>245.70000000000039</v>
      </c>
      <c r="AW41" s="406">
        <f t="shared" si="43"/>
        <v>271.89999999999981</v>
      </c>
      <c r="AX41" s="406">
        <f t="shared" si="43"/>
        <v>1173.7000000000003</v>
      </c>
      <c r="AY41" s="405">
        <f t="shared" si="43"/>
        <v>547.00000000000023</v>
      </c>
      <c r="AZ41" s="406">
        <f t="shared" si="43"/>
        <v>806.39999999999975</v>
      </c>
      <c r="BA41" s="406">
        <f t="shared" si="43"/>
        <v>1042.8999999999999</v>
      </c>
      <c r="BB41" s="406">
        <f t="shared" si="43"/>
        <v>-39.400000000000261</v>
      </c>
      <c r="BC41" s="405">
        <f t="shared" si="43"/>
        <v>2117.6999999999998</v>
      </c>
      <c r="BD41" s="406">
        <f t="shared" si="43"/>
        <v>894.50000000000011</v>
      </c>
      <c r="BE41" s="406">
        <f t="shared" si="43"/>
        <v>360.3000000000003</v>
      </c>
      <c r="BF41" s="406">
        <f>+BF30+BF31</f>
        <v>22.500000000000341</v>
      </c>
    </row>
    <row r="42" spans="1:58" s="506" customFormat="1">
      <c r="A42" s="411" t="s">
        <v>925</v>
      </c>
      <c r="B42" s="411" t="s">
        <v>938</v>
      </c>
      <c r="C42" s="407"/>
      <c r="D42" s="408"/>
      <c r="E42" s="408"/>
      <c r="F42" s="408"/>
      <c r="G42" s="407"/>
      <c r="H42" s="408"/>
      <c r="I42" s="408"/>
      <c r="J42" s="504"/>
      <c r="K42" s="407"/>
      <c r="L42" s="408"/>
      <c r="M42" s="408"/>
      <c r="N42" s="504"/>
      <c r="O42" s="407"/>
      <c r="P42" s="408"/>
      <c r="Q42" s="408"/>
      <c r="R42" s="504"/>
      <c r="S42" s="407"/>
      <c r="T42" s="408"/>
      <c r="U42" s="408"/>
      <c r="V42" s="504"/>
      <c r="W42" s="407"/>
      <c r="X42" s="408"/>
      <c r="Y42" s="408"/>
      <c r="Z42" s="504"/>
      <c r="AA42" s="407"/>
      <c r="AB42" s="408"/>
      <c r="AC42" s="408"/>
      <c r="AD42" s="504"/>
      <c r="AE42" s="407"/>
      <c r="AF42" s="408"/>
      <c r="AG42" s="408"/>
      <c r="AH42" s="504"/>
      <c r="AI42" s="407"/>
      <c r="AJ42" s="408"/>
      <c r="AK42" s="408"/>
      <c r="AL42" s="504"/>
      <c r="AM42" s="407"/>
      <c r="AN42" s="408"/>
      <c r="AO42" s="408"/>
      <c r="AP42" s="504"/>
      <c r="AQ42" s="407"/>
      <c r="AR42" s="408"/>
      <c r="AS42" s="408"/>
      <c r="AT42" s="504"/>
      <c r="AU42" s="407">
        <v>511.9</v>
      </c>
      <c r="AV42" s="408">
        <v>245.7</v>
      </c>
      <c r="AW42" s="408">
        <v>271.90000000000009</v>
      </c>
      <c r="AX42" s="408">
        <v>1173.6999999999998</v>
      </c>
      <c r="AY42" s="407">
        <v>547</v>
      </c>
      <c r="AZ42" s="408">
        <v>806.40000000000009</v>
      </c>
      <c r="BA42" s="408">
        <v>1042.9000000000001</v>
      </c>
      <c r="BB42" s="408">
        <v>-39.400000000000091</v>
      </c>
      <c r="BC42" s="407">
        <v>2117.7000000000003</v>
      </c>
      <c r="BD42" s="408">
        <v>894.49999999999977</v>
      </c>
      <c r="BE42" s="408">
        <v>360.29999999999995</v>
      </c>
      <c r="BF42" s="408">
        <v>22.5</v>
      </c>
    </row>
    <row r="43" spans="1:58">
      <c r="A43" s="13"/>
      <c r="B43" s="13"/>
      <c r="C43" s="64"/>
      <c r="D43" s="64"/>
      <c r="E43" s="64"/>
      <c r="F43" s="64"/>
      <c r="G43" s="64"/>
      <c r="H43" s="64"/>
      <c r="I43" s="64"/>
      <c r="J43" s="64"/>
      <c r="K43" s="64"/>
      <c r="L43" s="64"/>
      <c r="M43" s="64"/>
      <c r="N43" s="64"/>
      <c r="O43" s="64"/>
      <c r="P43" s="64"/>
      <c r="Q43" s="64"/>
      <c r="R43" s="64"/>
      <c r="S43" s="64"/>
      <c r="T43" s="64"/>
      <c r="U43" s="64"/>
      <c r="V43" s="64"/>
      <c r="W43" s="64"/>
      <c r="X43" s="64"/>
      <c r="Y43" s="64"/>
      <c r="Z43" s="64"/>
      <c r="AA43" s="64"/>
      <c r="AB43" s="64"/>
      <c r="AC43" s="64"/>
      <c r="AD43" s="64"/>
      <c r="AG43" s="77"/>
      <c r="AH43" s="77"/>
      <c r="AI43" s="77"/>
      <c r="AM43" s="77"/>
      <c r="AU43" s="77"/>
      <c r="AY43" s="77"/>
      <c r="BC43" s="77"/>
    </row>
    <row r="44" spans="1:58">
      <c r="A44" s="13"/>
      <c r="B44" s="13"/>
      <c r="AG44" s="77"/>
      <c r="AH44" s="77"/>
      <c r="AI44" s="77"/>
      <c r="AM44" s="77"/>
      <c r="AU44" s="77"/>
      <c r="AY44" s="77"/>
      <c r="BC44" s="77"/>
    </row>
    <row r="45" spans="1:58">
      <c r="A45" s="13"/>
      <c r="B45" s="13"/>
      <c r="C45" s="78"/>
      <c r="D45" s="78"/>
      <c r="E45" s="78"/>
      <c r="F45" s="78"/>
      <c r="G45" s="78"/>
      <c r="H45" s="78"/>
      <c r="I45" s="78"/>
      <c r="J45" s="78"/>
      <c r="K45" s="78"/>
      <c r="L45" s="78"/>
      <c r="M45" s="78"/>
      <c r="N45" s="78"/>
      <c r="O45" s="78"/>
      <c r="P45" s="78"/>
      <c r="Q45" s="78"/>
      <c r="R45" s="78"/>
      <c r="S45" s="78"/>
      <c r="T45" s="78"/>
      <c r="U45" s="78"/>
      <c r="V45" s="78"/>
      <c r="W45" s="78"/>
      <c r="X45" s="78"/>
      <c r="Y45" s="78"/>
      <c r="Z45" s="78"/>
      <c r="AA45" s="78"/>
      <c r="AB45" s="78"/>
      <c r="AC45" s="78"/>
      <c r="AD45" s="78"/>
      <c r="AG45" s="77"/>
      <c r="AH45" s="77"/>
      <c r="AI45" s="77"/>
      <c r="AM45" s="77"/>
      <c r="AU45" s="77"/>
      <c r="AY45" s="77"/>
      <c r="BC45" s="77"/>
    </row>
    <row r="46" spans="1:58">
      <c r="A46" s="13"/>
      <c r="B46" s="13"/>
      <c r="C46" s="64"/>
      <c r="D46" s="64"/>
      <c r="E46" s="64"/>
      <c r="F46" s="64"/>
      <c r="G46" s="64"/>
      <c r="H46" s="64"/>
      <c r="I46" s="64"/>
      <c r="J46" s="64"/>
      <c r="K46" s="64"/>
      <c r="L46" s="64"/>
      <c r="M46" s="64"/>
      <c r="N46" s="64"/>
      <c r="O46" s="64"/>
      <c r="P46" s="64"/>
      <c r="Q46" s="64"/>
      <c r="R46" s="64"/>
      <c r="S46" s="64"/>
      <c r="T46" s="64"/>
      <c r="U46" s="64"/>
      <c r="V46" s="64"/>
      <c r="W46" s="64"/>
      <c r="X46" s="64"/>
      <c r="Y46" s="64"/>
      <c r="Z46" s="64"/>
      <c r="AA46" s="64"/>
      <c r="AB46" s="64"/>
      <c r="AC46" s="64"/>
      <c r="AD46" s="64"/>
      <c r="AG46" s="77"/>
      <c r="AH46" s="77"/>
      <c r="AI46" s="77"/>
      <c r="AM46" s="77"/>
      <c r="AU46" s="77"/>
      <c r="AY46" s="77"/>
      <c r="BC46" s="77"/>
    </row>
    <row r="47" spans="1:58">
      <c r="A47" s="13"/>
      <c r="B47" s="13"/>
      <c r="AG47" s="77"/>
      <c r="AH47" s="77"/>
      <c r="AI47" s="77"/>
      <c r="AM47" s="77"/>
      <c r="AU47" s="77"/>
      <c r="AY47" s="77"/>
      <c r="BC47" s="77"/>
    </row>
    <row r="48" spans="1:58">
      <c r="A48" s="13"/>
      <c r="B48" s="13"/>
      <c r="C48" s="64"/>
      <c r="D48" s="64"/>
      <c r="E48" s="64"/>
      <c r="F48" s="64"/>
      <c r="G48" s="64"/>
      <c r="H48" s="64"/>
      <c r="I48" s="64"/>
      <c r="J48" s="64"/>
      <c r="K48" s="64"/>
      <c r="L48" s="64"/>
      <c r="M48" s="64"/>
      <c r="N48" s="64"/>
      <c r="O48" s="64"/>
      <c r="P48" s="64"/>
      <c r="Q48" s="64"/>
      <c r="R48" s="64"/>
      <c r="S48" s="64"/>
      <c r="T48" s="64"/>
      <c r="U48" s="64"/>
      <c r="V48" s="64"/>
      <c r="W48" s="64"/>
      <c r="X48" s="64"/>
      <c r="Y48" s="64"/>
      <c r="Z48" s="64"/>
      <c r="AA48" s="64"/>
      <c r="AB48" s="64"/>
      <c r="AC48" s="64"/>
      <c r="AD48" s="64"/>
      <c r="AG48" s="77"/>
      <c r="AH48" s="77"/>
      <c r="AI48" s="77"/>
      <c r="AM48" s="77"/>
      <c r="AU48" s="77"/>
      <c r="AY48" s="77"/>
      <c r="BC48" s="77"/>
    </row>
    <row r="49" spans="1:55">
      <c r="A49" s="13"/>
      <c r="B49" s="13"/>
      <c r="AG49" s="77"/>
      <c r="AH49" s="77"/>
      <c r="AI49" s="77"/>
      <c r="AM49" s="77"/>
      <c r="AU49" s="77"/>
      <c r="AY49" s="77"/>
      <c r="BC49" s="77"/>
    </row>
    <row r="50" spans="1:55">
      <c r="A50" s="13"/>
      <c r="B50" s="13"/>
      <c r="AG50" s="77"/>
      <c r="AH50" s="77"/>
      <c r="AI50" s="77"/>
      <c r="AM50" s="77"/>
      <c r="AU50" s="77"/>
      <c r="AY50" s="77"/>
      <c r="BC50" s="77"/>
    </row>
    <row r="51" spans="1:55">
      <c r="A51" s="13"/>
      <c r="B51" s="17"/>
      <c r="C51" s="79"/>
      <c r="D51" s="79"/>
      <c r="E51" s="79"/>
      <c r="F51" s="79"/>
      <c r="G51" s="79"/>
      <c r="H51" s="79"/>
      <c r="I51" s="79"/>
      <c r="J51" s="79"/>
      <c r="K51" s="79"/>
      <c r="L51" s="79"/>
      <c r="M51" s="79"/>
      <c r="N51" s="79"/>
      <c r="O51" s="79"/>
      <c r="P51" s="79"/>
      <c r="Q51" s="79"/>
      <c r="R51" s="79"/>
      <c r="S51" s="79"/>
      <c r="T51" s="79"/>
      <c r="U51" s="79"/>
      <c r="V51" s="79"/>
      <c r="W51" s="79"/>
      <c r="X51" s="79"/>
      <c r="Y51" s="79"/>
      <c r="Z51" s="79"/>
      <c r="AA51" s="79"/>
      <c r="AB51" s="79"/>
      <c r="AC51" s="79"/>
      <c r="AD51" s="79"/>
      <c r="AG51" s="77"/>
      <c r="AH51" s="77"/>
      <c r="AI51" s="77"/>
      <c r="AM51" s="77"/>
      <c r="AU51" s="77"/>
      <c r="AY51" s="77"/>
      <c r="BC51" s="77"/>
    </row>
    <row r="52" spans="1:55">
      <c r="A52" s="13"/>
      <c r="B52" s="17"/>
      <c r="C52" s="78"/>
      <c r="D52" s="78"/>
      <c r="E52" s="78"/>
      <c r="F52" s="78"/>
      <c r="G52" s="78"/>
      <c r="H52" s="78"/>
      <c r="I52" s="78"/>
      <c r="J52" s="78"/>
      <c r="K52" s="78"/>
      <c r="L52" s="78"/>
      <c r="M52" s="78"/>
      <c r="N52" s="78"/>
      <c r="O52" s="78"/>
      <c r="P52" s="78"/>
      <c r="Q52" s="78"/>
      <c r="R52" s="78"/>
      <c r="S52" s="78"/>
      <c r="T52" s="78"/>
      <c r="U52" s="78"/>
      <c r="V52" s="78"/>
      <c r="W52" s="78"/>
      <c r="X52" s="78"/>
      <c r="Y52" s="78"/>
      <c r="Z52" s="78"/>
      <c r="AA52" s="78"/>
      <c r="AB52" s="78"/>
      <c r="AC52" s="78"/>
      <c r="AD52" s="78"/>
      <c r="AG52" s="77"/>
      <c r="AH52" s="77"/>
      <c r="AI52" s="77"/>
      <c r="AM52" s="77"/>
      <c r="AU52" s="77"/>
      <c r="AY52" s="77"/>
      <c r="BC52" s="77"/>
    </row>
    <row r="53" spans="1:55">
      <c r="A53" s="13"/>
      <c r="B53" s="17"/>
      <c r="C53" s="79"/>
      <c r="D53" s="79"/>
      <c r="E53" s="79"/>
      <c r="F53" s="79"/>
      <c r="G53" s="79"/>
      <c r="H53" s="79"/>
      <c r="I53" s="79"/>
      <c r="J53" s="79"/>
      <c r="K53" s="79"/>
      <c r="L53" s="79"/>
      <c r="M53" s="79"/>
      <c r="N53" s="79"/>
      <c r="O53" s="79"/>
      <c r="P53" s="79"/>
      <c r="Q53" s="79"/>
      <c r="R53" s="79"/>
      <c r="S53" s="79"/>
      <c r="T53" s="79"/>
      <c r="U53" s="79"/>
      <c r="V53" s="79"/>
      <c r="W53" s="79"/>
      <c r="X53" s="79"/>
      <c r="Y53" s="79"/>
      <c r="Z53" s="79"/>
      <c r="AA53" s="79"/>
      <c r="AB53" s="79"/>
      <c r="AC53" s="79"/>
      <c r="AD53" s="79"/>
      <c r="AG53" s="77"/>
      <c r="AH53" s="77"/>
      <c r="AI53" s="77"/>
      <c r="AM53" s="77"/>
      <c r="AU53" s="77"/>
      <c r="AY53" s="77"/>
      <c r="BC53" s="77"/>
    </row>
    <row r="54" spans="1:55">
      <c r="A54" s="13"/>
      <c r="B54" s="17"/>
      <c r="C54" s="78"/>
      <c r="D54" s="78"/>
      <c r="E54" s="78"/>
      <c r="F54" s="78"/>
      <c r="G54" s="78"/>
      <c r="H54" s="78"/>
      <c r="I54" s="78"/>
      <c r="J54" s="78"/>
      <c r="K54" s="78"/>
      <c r="L54" s="78"/>
      <c r="M54" s="78"/>
      <c r="N54" s="78"/>
      <c r="O54" s="78"/>
      <c r="P54" s="78"/>
      <c r="Q54" s="78"/>
      <c r="R54" s="78"/>
      <c r="S54" s="78"/>
      <c r="T54" s="78"/>
      <c r="U54" s="78"/>
      <c r="V54" s="78"/>
      <c r="W54" s="78"/>
      <c r="X54" s="78"/>
      <c r="Y54" s="78"/>
      <c r="Z54" s="78"/>
      <c r="AA54" s="78"/>
      <c r="AB54" s="78"/>
      <c r="AC54" s="78"/>
      <c r="AD54" s="78"/>
      <c r="AG54" s="77"/>
      <c r="AH54" s="77"/>
      <c r="AI54" s="77"/>
      <c r="AM54" s="77"/>
      <c r="AU54" s="77"/>
      <c r="AY54" s="77"/>
      <c r="BC54" s="77"/>
    </row>
    <row r="55" spans="1:55">
      <c r="A55" s="13"/>
      <c r="B55" s="17"/>
      <c r="C55" s="79"/>
      <c r="D55" s="79"/>
      <c r="E55" s="79"/>
      <c r="F55" s="79"/>
      <c r="G55" s="79"/>
      <c r="H55" s="79"/>
      <c r="I55" s="79"/>
      <c r="J55" s="79"/>
      <c r="K55" s="79"/>
      <c r="L55" s="79"/>
      <c r="M55" s="79"/>
      <c r="N55" s="79"/>
      <c r="O55" s="79"/>
      <c r="P55" s="79"/>
      <c r="Q55" s="79"/>
      <c r="R55" s="79"/>
      <c r="S55" s="79"/>
      <c r="T55" s="79"/>
      <c r="U55" s="79"/>
      <c r="V55" s="79"/>
      <c r="W55" s="79"/>
      <c r="X55" s="79"/>
      <c r="Y55" s="79"/>
      <c r="Z55" s="79"/>
      <c r="AA55" s="79"/>
      <c r="AB55" s="79"/>
      <c r="AC55" s="79"/>
      <c r="AD55" s="79"/>
      <c r="AG55" s="77"/>
      <c r="AH55" s="77"/>
      <c r="AI55" s="77"/>
      <c r="AM55" s="77"/>
      <c r="AU55" s="77"/>
      <c r="AY55" s="77"/>
      <c r="BC55" s="77"/>
    </row>
    <row r="56" spans="1:55">
      <c r="A56" s="13"/>
      <c r="B56" s="17"/>
      <c r="C56" s="78"/>
      <c r="D56" s="78"/>
      <c r="E56" s="78"/>
      <c r="F56" s="78"/>
      <c r="G56" s="78"/>
      <c r="H56" s="78"/>
      <c r="I56" s="78"/>
      <c r="J56" s="78"/>
      <c r="K56" s="78"/>
      <c r="L56" s="78"/>
      <c r="M56" s="78"/>
      <c r="N56" s="78"/>
      <c r="O56" s="78"/>
      <c r="P56" s="78"/>
      <c r="Q56" s="78"/>
      <c r="R56" s="78"/>
      <c r="S56" s="78"/>
      <c r="T56" s="78"/>
      <c r="U56" s="78"/>
      <c r="V56" s="78"/>
      <c r="W56" s="78"/>
      <c r="X56" s="78"/>
      <c r="Y56" s="78"/>
      <c r="Z56" s="78"/>
      <c r="AA56" s="78"/>
      <c r="AB56" s="78"/>
      <c r="AC56" s="78"/>
      <c r="AD56" s="78"/>
      <c r="AG56" s="77"/>
      <c r="AH56" s="77"/>
      <c r="AI56" s="77"/>
      <c r="AM56" s="77"/>
      <c r="AU56" s="77"/>
      <c r="AY56" s="77"/>
      <c r="BC56" s="77"/>
    </row>
    <row r="57" spans="1:55">
      <c r="A57" s="13"/>
      <c r="B57" s="17"/>
      <c r="C57" s="79"/>
      <c r="D57" s="79"/>
      <c r="E57" s="79"/>
      <c r="F57" s="79"/>
      <c r="G57" s="79"/>
      <c r="H57" s="79"/>
      <c r="I57" s="79"/>
      <c r="J57" s="79"/>
      <c r="K57" s="79"/>
      <c r="L57" s="79"/>
      <c r="M57" s="79"/>
      <c r="N57" s="79"/>
      <c r="O57" s="79"/>
      <c r="P57" s="79"/>
      <c r="Q57" s="79"/>
      <c r="R57" s="79"/>
      <c r="S57" s="79"/>
      <c r="T57" s="79"/>
      <c r="U57" s="79"/>
      <c r="V57" s="79"/>
      <c r="W57" s="79"/>
      <c r="X57" s="79"/>
      <c r="Y57" s="79"/>
      <c r="Z57" s="79"/>
      <c r="AA57" s="79"/>
      <c r="AB57" s="79"/>
      <c r="AC57" s="79"/>
      <c r="AD57" s="79"/>
      <c r="AG57" s="77"/>
      <c r="AH57" s="77"/>
      <c r="AI57" s="77"/>
      <c r="AM57" s="77"/>
      <c r="AU57" s="77"/>
      <c r="AY57" s="77"/>
      <c r="BC57" s="77"/>
    </row>
    <row r="58" spans="1:55">
      <c r="A58" s="13"/>
      <c r="B58" s="17"/>
      <c r="C58" s="78"/>
      <c r="D58" s="78"/>
      <c r="E58" s="78"/>
      <c r="F58" s="78"/>
      <c r="G58" s="78"/>
      <c r="H58" s="78"/>
      <c r="I58" s="78"/>
      <c r="J58" s="78"/>
      <c r="K58" s="78"/>
      <c r="L58" s="78"/>
      <c r="M58" s="78"/>
      <c r="N58" s="78"/>
      <c r="O58" s="78"/>
      <c r="P58" s="78"/>
      <c r="Q58" s="78"/>
      <c r="R58" s="78"/>
      <c r="S58" s="78"/>
      <c r="T58" s="78"/>
      <c r="U58" s="78"/>
      <c r="V58" s="78"/>
      <c r="W58" s="78"/>
      <c r="X58" s="78"/>
      <c r="Y58" s="78"/>
      <c r="Z58" s="78"/>
      <c r="AA58" s="78"/>
      <c r="AB58" s="78"/>
      <c r="AC58" s="78"/>
      <c r="AD58" s="78"/>
      <c r="AG58" s="77"/>
      <c r="AH58" s="77"/>
      <c r="AI58" s="77"/>
      <c r="AM58" s="77"/>
      <c r="AU58" s="77"/>
      <c r="AY58" s="77"/>
      <c r="BC58" s="77"/>
    </row>
    <row r="59" spans="1:55">
      <c r="A59" s="13"/>
      <c r="B59" s="17"/>
      <c r="C59" s="79"/>
      <c r="D59" s="79"/>
      <c r="E59" s="79"/>
      <c r="F59" s="79"/>
      <c r="G59" s="79"/>
      <c r="H59" s="79"/>
      <c r="I59" s="79"/>
      <c r="J59" s="79"/>
      <c r="K59" s="79"/>
      <c r="L59" s="79"/>
      <c r="M59" s="79"/>
      <c r="N59" s="79"/>
      <c r="O59" s="79"/>
      <c r="P59" s="79"/>
      <c r="Q59" s="79"/>
      <c r="R59" s="79"/>
      <c r="S59" s="79"/>
      <c r="T59" s="79"/>
      <c r="U59" s="79"/>
      <c r="V59" s="79"/>
      <c r="W59" s="79"/>
      <c r="X59" s="79"/>
      <c r="Y59" s="79"/>
      <c r="Z59" s="79"/>
      <c r="AA59" s="79"/>
      <c r="AB59" s="79"/>
      <c r="AC59" s="79"/>
      <c r="AD59" s="79"/>
      <c r="AG59" s="77"/>
      <c r="AH59" s="77"/>
      <c r="AI59" s="77"/>
      <c r="AM59" s="77"/>
      <c r="AU59" s="77"/>
      <c r="AY59" s="77"/>
      <c r="BC59" s="77"/>
    </row>
    <row r="60" spans="1:55">
      <c r="A60" s="13"/>
      <c r="B60" s="17"/>
      <c r="C60" s="78"/>
      <c r="D60" s="78"/>
      <c r="E60" s="78"/>
      <c r="F60" s="78"/>
      <c r="G60" s="78"/>
      <c r="H60" s="78"/>
      <c r="I60" s="78"/>
      <c r="J60" s="78"/>
      <c r="K60" s="78"/>
      <c r="L60" s="78"/>
      <c r="M60" s="78"/>
      <c r="N60" s="78"/>
      <c r="O60" s="78"/>
      <c r="P60" s="78"/>
      <c r="Q60" s="78"/>
      <c r="R60" s="78"/>
      <c r="S60" s="78"/>
      <c r="T60" s="78"/>
      <c r="U60" s="78"/>
      <c r="V60" s="78"/>
      <c r="W60" s="78"/>
      <c r="X60" s="78"/>
      <c r="Y60" s="78"/>
      <c r="Z60" s="78"/>
      <c r="AA60" s="78"/>
      <c r="AB60" s="78"/>
      <c r="AC60" s="78"/>
      <c r="AD60" s="78"/>
      <c r="AG60" s="77"/>
      <c r="AH60" s="77"/>
      <c r="AI60" s="77"/>
      <c r="AM60" s="77"/>
      <c r="AU60" s="77"/>
      <c r="AY60" s="77"/>
      <c r="BC60" s="77"/>
    </row>
    <row r="61" spans="1:55">
      <c r="A61" s="13"/>
      <c r="B61" s="17"/>
      <c r="C61" s="79"/>
      <c r="D61" s="79"/>
      <c r="E61" s="79"/>
      <c r="F61" s="79"/>
      <c r="G61" s="79"/>
      <c r="H61" s="79"/>
      <c r="I61" s="79"/>
      <c r="J61" s="79"/>
      <c r="K61" s="79"/>
      <c r="L61" s="79"/>
      <c r="M61" s="79"/>
      <c r="N61" s="79"/>
      <c r="O61" s="79"/>
      <c r="P61" s="79"/>
      <c r="Q61" s="79"/>
      <c r="R61" s="79"/>
      <c r="S61" s="79"/>
      <c r="T61" s="79"/>
      <c r="U61" s="79"/>
      <c r="V61" s="79"/>
      <c r="W61" s="79"/>
      <c r="X61" s="79"/>
      <c r="Y61" s="79"/>
      <c r="Z61" s="79"/>
      <c r="AA61" s="79"/>
      <c r="AB61" s="79"/>
      <c r="AC61" s="79"/>
      <c r="AD61" s="79"/>
      <c r="AG61" s="77"/>
      <c r="AH61" s="77"/>
      <c r="AI61" s="77"/>
      <c r="AM61" s="77"/>
      <c r="AU61" s="77"/>
      <c r="AY61" s="77"/>
      <c r="BC61" s="77"/>
    </row>
    <row r="62" spans="1:55">
      <c r="A62" s="13"/>
      <c r="B62" s="17"/>
      <c r="C62" s="78"/>
      <c r="D62" s="78"/>
      <c r="E62" s="78"/>
      <c r="F62" s="78"/>
      <c r="G62" s="78"/>
      <c r="H62" s="78"/>
      <c r="I62" s="78"/>
      <c r="J62" s="78"/>
      <c r="K62" s="78"/>
      <c r="L62" s="78"/>
      <c r="M62" s="78"/>
      <c r="N62" s="78"/>
      <c r="O62" s="78"/>
      <c r="P62" s="78"/>
      <c r="Q62" s="78"/>
      <c r="R62" s="78"/>
      <c r="S62" s="78"/>
      <c r="T62" s="78"/>
      <c r="U62" s="78"/>
      <c r="V62" s="78"/>
      <c r="W62" s="78"/>
      <c r="X62" s="78"/>
      <c r="Y62" s="78"/>
      <c r="Z62" s="78"/>
      <c r="AA62" s="78"/>
      <c r="AB62" s="78"/>
      <c r="AC62" s="78"/>
      <c r="AD62" s="78"/>
      <c r="AG62" s="77"/>
      <c r="AH62" s="77"/>
      <c r="AI62" s="77"/>
      <c r="AM62" s="77"/>
      <c r="AU62" s="77"/>
      <c r="AY62" s="77"/>
      <c r="BC62" s="77"/>
    </row>
    <row r="63" spans="1:55">
      <c r="A63" s="13"/>
      <c r="B63" s="17"/>
      <c r="C63" s="79"/>
      <c r="D63" s="79"/>
      <c r="E63" s="79"/>
      <c r="F63" s="79"/>
      <c r="G63" s="79"/>
      <c r="H63" s="79"/>
      <c r="I63" s="79"/>
      <c r="J63" s="79"/>
      <c r="K63" s="79"/>
      <c r="L63" s="79"/>
      <c r="M63" s="79"/>
      <c r="N63" s="79"/>
      <c r="O63" s="79"/>
      <c r="P63" s="79"/>
      <c r="Q63" s="79"/>
      <c r="R63" s="79"/>
      <c r="S63" s="79"/>
      <c r="T63" s="79"/>
      <c r="U63" s="79"/>
      <c r="V63" s="79"/>
      <c r="W63" s="79"/>
      <c r="X63" s="79"/>
      <c r="Y63" s="79"/>
      <c r="Z63" s="79"/>
      <c r="AA63" s="79"/>
      <c r="AB63" s="79"/>
      <c r="AC63" s="79"/>
      <c r="AD63" s="79"/>
      <c r="AG63" s="77"/>
      <c r="AH63" s="77"/>
      <c r="AI63" s="77"/>
      <c r="AM63" s="77"/>
      <c r="AU63" s="77"/>
      <c r="AY63" s="77"/>
      <c r="BC63" s="77"/>
    </row>
    <row r="64" spans="1:55">
      <c r="C64" s="64"/>
      <c r="D64" s="64"/>
      <c r="E64" s="64"/>
      <c r="F64" s="64"/>
      <c r="G64" s="64"/>
      <c r="H64" s="64"/>
      <c r="I64" s="64"/>
      <c r="J64" s="64"/>
      <c r="K64" s="64"/>
      <c r="L64" s="64"/>
      <c r="M64" s="64"/>
      <c r="N64" s="64"/>
      <c r="O64" s="64"/>
      <c r="P64" s="64"/>
      <c r="Q64" s="64"/>
      <c r="R64" s="64"/>
      <c r="S64" s="64"/>
      <c r="T64" s="64"/>
      <c r="U64" s="64"/>
      <c r="V64" s="64"/>
      <c r="W64" s="64"/>
      <c r="X64" s="64"/>
      <c r="Y64" s="64"/>
      <c r="Z64" s="64"/>
      <c r="AA64" s="64"/>
      <c r="AB64" s="64"/>
      <c r="AC64" s="64"/>
      <c r="AD64" s="64"/>
      <c r="AG64" s="77"/>
      <c r="AH64" s="77"/>
      <c r="AI64" s="77"/>
      <c r="AM64" s="77"/>
      <c r="AU64" s="77"/>
      <c r="AY64" s="77"/>
      <c r="BC64" s="77"/>
    </row>
    <row r="65" spans="1:58">
      <c r="AG65" s="77"/>
      <c r="AH65" s="77"/>
      <c r="AI65" s="77"/>
      <c r="AM65" s="77"/>
      <c r="AU65" s="77"/>
      <c r="AY65" s="77"/>
      <c r="BC65" s="77"/>
    </row>
    <row r="66" spans="1:58">
      <c r="AG66" s="77"/>
      <c r="AH66" s="77"/>
      <c r="AI66" s="77"/>
      <c r="AM66" s="77"/>
      <c r="AU66" s="77"/>
      <c r="AY66" s="77"/>
      <c r="BC66" s="77"/>
    </row>
    <row r="67" spans="1:58">
      <c r="A67" s="13"/>
      <c r="B67" s="17"/>
      <c r="C67" s="78"/>
      <c r="D67" s="78"/>
      <c r="E67" s="78"/>
      <c r="F67" s="78"/>
      <c r="G67" s="78"/>
      <c r="H67" s="78"/>
      <c r="I67" s="78"/>
      <c r="J67" s="78"/>
      <c r="K67" s="78"/>
      <c r="L67" s="78"/>
      <c r="M67" s="78"/>
      <c r="N67" s="78"/>
      <c r="O67" s="78"/>
      <c r="P67" s="78"/>
      <c r="Q67" s="78"/>
      <c r="R67" s="78"/>
      <c r="S67" s="78"/>
      <c r="T67" s="78"/>
      <c r="U67" s="78"/>
      <c r="V67" s="78"/>
      <c r="W67" s="78"/>
      <c r="X67" s="78"/>
      <c r="Y67" s="78"/>
      <c r="Z67" s="78"/>
      <c r="AA67" s="78"/>
      <c r="AB67" s="78"/>
      <c r="AC67" s="78"/>
      <c r="AD67" s="78"/>
      <c r="AG67" s="77"/>
      <c r="AH67" s="77"/>
      <c r="AI67" s="77"/>
      <c r="AM67" s="77"/>
      <c r="AU67" s="77"/>
      <c r="AY67" s="77"/>
      <c r="BC67" s="77"/>
    </row>
    <row r="68" spans="1:58">
      <c r="A68" s="13"/>
      <c r="B68" s="17"/>
      <c r="C68" s="79"/>
      <c r="D68" s="79"/>
      <c r="E68" s="79"/>
      <c r="F68" s="79"/>
      <c r="G68" s="79"/>
      <c r="H68" s="79"/>
      <c r="I68" s="79"/>
      <c r="J68" s="79"/>
      <c r="K68" s="79"/>
      <c r="L68" s="79"/>
      <c r="M68" s="79"/>
      <c r="N68" s="79"/>
      <c r="O68" s="79"/>
      <c r="P68" s="79"/>
      <c r="Q68" s="79"/>
      <c r="R68" s="79"/>
      <c r="S68" s="79"/>
      <c r="T68" s="79"/>
      <c r="U68" s="79"/>
      <c r="V68" s="79"/>
      <c r="W68" s="79"/>
      <c r="X68" s="79"/>
      <c r="Y68" s="79"/>
      <c r="Z68" s="79"/>
      <c r="AA68" s="79"/>
      <c r="AB68" s="79"/>
      <c r="AC68" s="79"/>
      <c r="AD68" s="79"/>
      <c r="AG68" s="77"/>
      <c r="AH68" s="77"/>
      <c r="AI68" s="77"/>
      <c r="AM68" s="77"/>
      <c r="AU68" s="77"/>
      <c r="AY68" s="77"/>
      <c r="BC68" s="77"/>
    </row>
    <row r="69" spans="1:58">
      <c r="AG69" s="77"/>
      <c r="AH69" s="77"/>
      <c r="AI69" s="77"/>
      <c r="AM69" s="77"/>
      <c r="AU69" s="77"/>
      <c r="AY69" s="77"/>
      <c r="BC69" s="77"/>
    </row>
    <row r="70" spans="1:58">
      <c r="A70" s="13"/>
      <c r="B70" s="17"/>
      <c r="C70" s="78"/>
      <c r="D70" s="78"/>
      <c r="E70" s="78"/>
      <c r="F70" s="78"/>
      <c r="G70" s="78"/>
      <c r="H70" s="78"/>
      <c r="I70" s="78"/>
      <c r="J70" s="78"/>
      <c r="K70" s="78"/>
      <c r="L70" s="78"/>
      <c r="M70" s="78"/>
      <c r="N70" s="78"/>
      <c r="O70" s="78"/>
      <c r="P70" s="78"/>
      <c r="Q70" s="78"/>
      <c r="R70" s="78"/>
      <c r="S70" s="78"/>
      <c r="T70" s="78"/>
      <c r="U70" s="78"/>
      <c r="V70" s="78"/>
      <c r="W70" s="78"/>
      <c r="X70" s="78"/>
      <c r="Y70" s="78"/>
      <c r="Z70" s="78"/>
      <c r="AA70" s="78"/>
      <c r="AB70" s="78"/>
      <c r="AC70" s="78"/>
      <c r="AD70" s="78"/>
      <c r="AG70" s="77"/>
      <c r="AH70" s="77"/>
      <c r="AI70" s="77"/>
      <c r="AM70" s="77"/>
      <c r="AU70" s="77"/>
      <c r="AY70" s="77"/>
      <c r="BC70" s="77"/>
    </row>
    <row r="71" spans="1:58">
      <c r="C71" s="64"/>
      <c r="D71" s="64"/>
      <c r="E71" s="64"/>
      <c r="F71" s="64"/>
      <c r="G71" s="64"/>
      <c r="H71" s="64"/>
      <c r="I71" s="64"/>
      <c r="J71" s="64"/>
      <c r="K71" s="64"/>
      <c r="L71" s="64"/>
      <c r="M71" s="64"/>
      <c r="N71" s="64"/>
      <c r="O71" s="64"/>
      <c r="P71" s="64"/>
      <c r="Q71" s="64"/>
      <c r="R71" s="64"/>
      <c r="S71" s="64"/>
      <c r="T71" s="64"/>
      <c r="U71" s="64"/>
      <c r="V71" s="64"/>
      <c r="W71" s="64"/>
      <c r="X71" s="64"/>
      <c r="Y71" s="64"/>
      <c r="Z71" s="64"/>
      <c r="AA71" s="64"/>
      <c r="AB71" s="64"/>
      <c r="AC71" s="64"/>
      <c r="AD71" s="64"/>
      <c r="AG71" s="77"/>
      <c r="AH71" s="77"/>
      <c r="AI71" s="77"/>
      <c r="AM71" s="77"/>
      <c r="AU71" s="77"/>
      <c r="AY71" s="77"/>
      <c r="BC71" s="77"/>
    </row>
    <row r="72" spans="1:58">
      <c r="AA72" s="64"/>
      <c r="AB72" s="64"/>
      <c r="AC72" s="64"/>
      <c r="AD72" s="64"/>
      <c r="AE72" s="64"/>
      <c r="AF72" s="64"/>
      <c r="AG72" s="64"/>
      <c r="AJ72" s="64"/>
      <c r="AK72" s="64"/>
      <c r="AL72" s="64"/>
      <c r="AN72" s="64"/>
      <c r="AO72" s="64"/>
      <c r="AP72" s="64"/>
      <c r="AQ72" s="64"/>
      <c r="AS72" s="64"/>
      <c r="AT72" s="64"/>
    </row>
    <row r="73" spans="1:58">
      <c r="AA73" s="78"/>
      <c r="AB73" s="78"/>
      <c r="AC73" s="78"/>
      <c r="AD73" s="78"/>
      <c r="AE73" s="78"/>
    </row>
    <row r="74" spans="1:58" s="17" customFormat="1" ht="11.25">
      <c r="A74" s="41"/>
      <c r="B74" s="41"/>
      <c r="C74" s="79"/>
      <c r="D74" s="79"/>
      <c r="E74" s="79"/>
      <c r="F74" s="79"/>
      <c r="G74" s="79"/>
      <c r="H74" s="79"/>
      <c r="I74" s="79"/>
      <c r="J74" s="79"/>
      <c r="K74" s="79"/>
      <c r="L74" s="79"/>
      <c r="M74" s="79"/>
      <c r="N74" s="79"/>
      <c r="O74" s="79"/>
      <c r="P74" s="79"/>
      <c r="Q74" s="79"/>
      <c r="R74" s="79"/>
      <c r="S74" s="79"/>
      <c r="T74" s="79"/>
      <c r="U74" s="79"/>
      <c r="V74" s="79"/>
      <c r="W74" s="79"/>
      <c r="X74" s="79"/>
      <c r="Y74" s="79"/>
      <c r="Z74" s="79"/>
      <c r="AA74" s="78"/>
      <c r="AB74" s="78"/>
      <c r="AC74" s="78"/>
      <c r="AD74" s="78"/>
      <c r="AE74" s="78"/>
      <c r="AF74" s="79"/>
      <c r="AG74" s="79"/>
      <c r="AH74" s="79"/>
      <c r="AI74" s="79"/>
      <c r="AJ74" s="79"/>
      <c r="AK74" s="79"/>
      <c r="AL74" s="79"/>
      <c r="AM74" s="79"/>
      <c r="AN74" s="79"/>
      <c r="AO74" s="79"/>
      <c r="AP74" s="79"/>
      <c r="AQ74" s="79"/>
      <c r="AR74" s="79"/>
      <c r="AS74" s="79"/>
      <c r="AT74" s="79"/>
      <c r="AU74" s="79"/>
      <c r="AV74" s="79"/>
      <c r="AW74" s="79"/>
      <c r="AX74" s="79"/>
      <c r="AY74" s="79"/>
      <c r="AZ74" s="79"/>
      <c r="BA74" s="79"/>
      <c r="BB74" s="79"/>
      <c r="BC74" s="79"/>
      <c r="BD74" s="79"/>
      <c r="BE74" s="79"/>
      <c r="BF74" s="79"/>
    </row>
    <row r="75" spans="1:58" s="17" customFormat="1" ht="11.25">
      <c r="A75" s="41"/>
      <c r="B75" s="41"/>
      <c r="C75" s="79"/>
      <c r="D75" s="79"/>
      <c r="E75" s="79"/>
      <c r="F75" s="79"/>
      <c r="G75" s="79"/>
      <c r="H75" s="79"/>
      <c r="I75" s="79"/>
      <c r="J75" s="79"/>
      <c r="K75" s="79"/>
      <c r="L75" s="79"/>
      <c r="M75" s="79"/>
      <c r="N75" s="79"/>
      <c r="O75" s="79"/>
      <c r="P75" s="79"/>
      <c r="Q75" s="79"/>
      <c r="R75" s="79"/>
      <c r="S75" s="79"/>
      <c r="T75" s="79"/>
      <c r="U75" s="79"/>
      <c r="V75" s="79"/>
      <c r="W75" s="79"/>
      <c r="X75" s="79"/>
      <c r="Y75" s="79"/>
      <c r="Z75" s="79"/>
      <c r="AA75" s="78"/>
      <c r="AB75" s="78"/>
      <c r="AC75" s="78"/>
      <c r="AD75" s="78"/>
      <c r="AE75" s="78"/>
      <c r="AF75" s="78"/>
      <c r="AG75" s="78"/>
      <c r="AH75" s="79"/>
      <c r="AI75" s="79"/>
      <c r="AJ75" s="78"/>
      <c r="AK75" s="78"/>
      <c r="AL75" s="78"/>
      <c r="AM75" s="79"/>
      <c r="AN75" s="78"/>
      <c r="AO75" s="78"/>
      <c r="AP75" s="78"/>
      <c r="AQ75" s="78"/>
      <c r="AR75" s="79"/>
      <c r="AS75" s="78"/>
      <c r="AT75" s="78"/>
      <c r="AU75" s="79"/>
      <c r="AV75" s="79"/>
      <c r="AW75" s="79"/>
      <c r="AX75" s="79"/>
      <c r="AY75" s="79"/>
      <c r="AZ75" s="79"/>
      <c r="BA75" s="79"/>
      <c r="BB75" s="79"/>
      <c r="BC75" s="79"/>
      <c r="BD75" s="79"/>
      <c r="BE75" s="79"/>
      <c r="BF75" s="79"/>
    </row>
    <row r="76" spans="1:58" s="17" customFormat="1" ht="11.25">
      <c r="A76" s="41"/>
      <c r="B76" s="41"/>
      <c r="C76" s="79"/>
      <c r="D76" s="79"/>
      <c r="E76" s="79"/>
      <c r="F76" s="79"/>
      <c r="G76" s="79"/>
      <c r="H76" s="79"/>
      <c r="I76" s="79"/>
      <c r="J76" s="79"/>
      <c r="K76" s="79"/>
      <c r="L76" s="79"/>
      <c r="M76" s="79"/>
      <c r="N76" s="79"/>
      <c r="O76" s="79"/>
      <c r="P76" s="79"/>
      <c r="Q76" s="79"/>
      <c r="R76" s="79"/>
      <c r="S76" s="79"/>
      <c r="T76" s="79"/>
      <c r="U76" s="79"/>
      <c r="V76" s="79"/>
      <c r="W76" s="79"/>
      <c r="X76" s="79"/>
      <c r="Y76" s="79"/>
      <c r="Z76" s="79"/>
      <c r="AA76" s="78"/>
      <c r="AB76" s="78"/>
      <c r="AC76" s="78"/>
      <c r="AD76" s="78"/>
      <c r="AE76" s="78"/>
      <c r="AF76" s="79"/>
      <c r="AG76" s="79"/>
      <c r="AH76" s="79"/>
      <c r="AI76" s="79"/>
      <c r="AJ76" s="79"/>
      <c r="AK76" s="79"/>
      <c r="AL76" s="79"/>
      <c r="AM76" s="79"/>
      <c r="AN76" s="79"/>
      <c r="AO76" s="79"/>
      <c r="AP76" s="79"/>
      <c r="AQ76" s="79"/>
      <c r="AR76" s="79"/>
      <c r="AS76" s="79"/>
      <c r="AT76" s="79"/>
      <c r="AU76" s="79"/>
      <c r="AV76" s="79"/>
      <c r="AW76" s="79"/>
      <c r="AX76" s="79"/>
      <c r="AY76" s="79"/>
      <c r="AZ76" s="79"/>
      <c r="BA76" s="79"/>
      <c r="BB76" s="79"/>
      <c r="BC76" s="79"/>
      <c r="BD76" s="79"/>
      <c r="BE76" s="79"/>
      <c r="BF76" s="79"/>
    </row>
    <row r="77" spans="1:58" s="17" customFormat="1" ht="11.25">
      <c r="A77" s="41"/>
      <c r="B77" s="41"/>
      <c r="C77" s="79"/>
      <c r="D77" s="79"/>
      <c r="E77" s="79"/>
      <c r="F77" s="79"/>
      <c r="G77" s="79"/>
      <c r="H77" s="79"/>
      <c r="I77" s="79"/>
      <c r="J77" s="79"/>
      <c r="K77" s="79"/>
      <c r="L77" s="79"/>
      <c r="M77" s="79"/>
      <c r="N77" s="79"/>
      <c r="O77" s="79"/>
      <c r="P77" s="79"/>
      <c r="Q77" s="79"/>
      <c r="R77" s="79"/>
      <c r="S77" s="79"/>
      <c r="T77" s="79"/>
      <c r="U77" s="79"/>
      <c r="V77" s="79"/>
      <c r="W77" s="79"/>
      <c r="X77" s="79"/>
      <c r="Y77" s="79"/>
      <c r="Z77" s="79"/>
      <c r="AA77" s="78"/>
      <c r="AB77" s="78"/>
      <c r="AC77" s="78"/>
      <c r="AD77" s="78"/>
      <c r="AE77" s="78"/>
      <c r="AF77" s="79"/>
      <c r="AG77" s="79"/>
      <c r="AH77" s="79"/>
      <c r="AI77" s="79"/>
      <c r="AJ77" s="79"/>
      <c r="AK77" s="79"/>
      <c r="AL77" s="79"/>
      <c r="AM77" s="79"/>
      <c r="AN77" s="79"/>
      <c r="AO77" s="79"/>
      <c r="AP77" s="79"/>
      <c r="AQ77" s="79"/>
      <c r="AR77" s="79"/>
      <c r="AS77" s="79"/>
      <c r="AT77" s="79"/>
      <c r="AU77" s="79"/>
      <c r="AV77" s="79"/>
      <c r="AW77" s="79"/>
      <c r="AX77" s="79"/>
      <c r="AY77" s="79"/>
      <c r="AZ77" s="79"/>
      <c r="BA77" s="79"/>
      <c r="BB77" s="79"/>
      <c r="BC77" s="79"/>
      <c r="BD77" s="79"/>
      <c r="BE77" s="79"/>
      <c r="BF77" s="79"/>
    </row>
    <row r="78" spans="1:58">
      <c r="AA78" s="64"/>
      <c r="AB78" s="64"/>
      <c r="AC78" s="64"/>
      <c r="AD78" s="64"/>
      <c r="AE78" s="64"/>
      <c r="AF78" s="64"/>
      <c r="AG78" s="64"/>
      <c r="AH78" s="64"/>
      <c r="AI78" s="64"/>
      <c r="AJ78" s="64"/>
      <c r="AK78" s="64"/>
      <c r="AL78" s="64"/>
      <c r="AM78" s="64"/>
      <c r="AN78" s="64"/>
      <c r="AO78" s="64"/>
      <c r="AP78" s="64"/>
      <c r="AQ78" s="64"/>
      <c r="AS78" s="64"/>
      <c r="AT78" s="64"/>
      <c r="AU78" s="64"/>
      <c r="AY78" s="64"/>
      <c r="BC78" s="64"/>
    </row>
    <row r="79" spans="1:58">
      <c r="AA79" s="64"/>
      <c r="AB79" s="64"/>
      <c r="AC79" s="64"/>
      <c r="AD79" s="64"/>
      <c r="AE79" s="64"/>
      <c r="AF79" s="64"/>
      <c r="AG79" s="64"/>
      <c r="AH79" s="64"/>
      <c r="AI79" s="64"/>
      <c r="AJ79" s="64"/>
      <c r="AK79" s="64"/>
      <c r="AL79" s="64"/>
      <c r="AM79" s="64"/>
      <c r="AN79" s="64"/>
      <c r="AO79" s="64"/>
      <c r="AP79" s="64"/>
      <c r="AQ79" s="64"/>
      <c r="AS79" s="64"/>
      <c r="AT79" s="64"/>
      <c r="AU79" s="64"/>
      <c r="AY79" s="64"/>
      <c r="BC79" s="64"/>
    </row>
    <row r="80" spans="1:58">
      <c r="AA80" s="64"/>
      <c r="AB80" s="64"/>
      <c r="AC80" s="64"/>
      <c r="AD80" s="64"/>
      <c r="AE80" s="64"/>
      <c r="AF80" s="64"/>
      <c r="AG80" s="64"/>
      <c r="AH80" s="64"/>
      <c r="AI80" s="64"/>
      <c r="AJ80" s="64"/>
      <c r="AK80" s="64"/>
      <c r="AL80" s="64"/>
      <c r="AM80" s="64"/>
      <c r="AN80" s="64"/>
      <c r="AO80" s="64"/>
      <c r="AP80" s="64"/>
      <c r="AQ80" s="64"/>
      <c r="AS80" s="64"/>
      <c r="AT80" s="64"/>
      <c r="AU80" s="64"/>
      <c r="AY80" s="64"/>
      <c r="BC80" s="64"/>
    </row>
  </sheetData>
  <mergeCells count="16">
    <mergeCell ref="BC2:BF2"/>
    <mergeCell ref="AY2:BB2"/>
    <mergeCell ref="AU2:AX2"/>
    <mergeCell ref="A2:A3"/>
    <mergeCell ref="B2:B3"/>
    <mergeCell ref="C2:F2"/>
    <mergeCell ref="G2:J2"/>
    <mergeCell ref="K2:N2"/>
    <mergeCell ref="O2:R2"/>
    <mergeCell ref="AQ2:AT2"/>
    <mergeCell ref="AE2:AH2"/>
    <mergeCell ref="AA2:AD2"/>
    <mergeCell ref="W2:Z2"/>
    <mergeCell ref="AI2:AL2"/>
    <mergeCell ref="S2:V2"/>
    <mergeCell ref="AM2:AP2"/>
  </mergeCells>
  <printOptions horizontalCentered="1"/>
  <pageMargins left="0.23622047244094491" right="0.23622047244094491" top="0.74803149606299213" bottom="0.74803149606299213" header="0.31496062992125984" footer="0.31496062992125984"/>
  <pageSetup paperSize="9" scale="28"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F19"/>
  <sheetViews>
    <sheetView showGridLines="0" view="pageBreakPreview" zoomScaleNormal="100" zoomScaleSheetLayoutView="100" zoomScalePageLayoutView="80" workbookViewId="0">
      <pane xSplit="2" ySplit="4" topLeftCell="AK5" activePane="bottomRight" state="frozen"/>
      <selection activeCell="B1" sqref="B1"/>
      <selection pane="topRight" activeCell="C1" sqref="C1"/>
      <selection pane="bottomLeft" activeCell="B5" sqref="B5"/>
      <selection pane="bottomRight" activeCell="BC2" sqref="BC2:BF2"/>
    </sheetView>
  </sheetViews>
  <sheetFormatPr defaultColWidth="8.85546875" defaultRowHeight="13.5" outlineLevelCol="1"/>
  <cols>
    <col min="1" max="1" width="50.42578125" style="52" customWidth="1" outlineLevel="1"/>
    <col min="2" max="2" width="53.140625" style="52" customWidth="1"/>
    <col min="3" max="58" width="6.140625" style="13" customWidth="1"/>
    <col min="59" max="16384" width="8.85546875" style="13"/>
  </cols>
  <sheetData>
    <row r="1" spans="1:58">
      <c r="A1" s="18" t="s">
        <v>539</v>
      </c>
      <c r="B1" s="18" t="s">
        <v>425</v>
      </c>
      <c r="AY1" s="350" t="s">
        <v>901</v>
      </c>
      <c r="AZ1" s="172"/>
      <c r="BA1" s="172"/>
      <c r="BB1" s="172"/>
    </row>
    <row r="2" spans="1:58">
      <c r="A2" s="639" t="s">
        <v>387</v>
      </c>
      <c r="B2" s="639" t="s">
        <v>38</v>
      </c>
      <c r="C2" s="636">
        <v>2007</v>
      </c>
      <c r="D2" s="641"/>
      <c r="E2" s="641"/>
      <c r="F2" s="641"/>
      <c r="G2" s="636">
        <v>2008</v>
      </c>
      <c r="H2" s="641"/>
      <c r="I2" s="641"/>
      <c r="J2" s="641"/>
      <c r="K2" s="636">
        <v>2009</v>
      </c>
      <c r="L2" s="641"/>
      <c r="M2" s="641"/>
      <c r="N2" s="641"/>
      <c r="O2" s="636">
        <v>2010</v>
      </c>
      <c r="P2" s="641"/>
      <c r="Q2" s="641"/>
      <c r="R2" s="641"/>
      <c r="S2" s="636">
        <v>2011</v>
      </c>
      <c r="T2" s="641"/>
      <c r="U2" s="641"/>
      <c r="V2" s="641"/>
      <c r="W2" s="636">
        <v>2012</v>
      </c>
      <c r="X2" s="641"/>
      <c r="Y2" s="641"/>
      <c r="Z2" s="642"/>
      <c r="AA2" s="636">
        <v>2013</v>
      </c>
      <c r="AB2" s="641"/>
      <c r="AC2" s="641"/>
      <c r="AD2" s="642"/>
      <c r="AE2" s="636">
        <v>2014</v>
      </c>
      <c r="AF2" s="641"/>
      <c r="AG2" s="641"/>
      <c r="AH2" s="641"/>
      <c r="AI2" s="636">
        <v>2015</v>
      </c>
      <c r="AJ2" s="641"/>
      <c r="AK2" s="641"/>
      <c r="AL2" s="641"/>
      <c r="AM2" s="636">
        <v>2016</v>
      </c>
      <c r="AN2" s="641"/>
      <c r="AO2" s="641"/>
      <c r="AP2" s="641"/>
      <c r="AQ2" s="636">
        <v>2017</v>
      </c>
      <c r="AR2" s="641"/>
      <c r="AS2" s="641"/>
      <c r="AT2" s="641">
        <v>2017</v>
      </c>
      <c r="AU2" s="647">
        <v>2018</v>
      </c>
      <c r="AV2" s="643"/>
      <c r="AW2" s="643"/>
      <c r="AX2" s="654"/>
      <c r="AY2" s="643">
        <v>2019</v>
      </c>
      <c r="AZ2" s="643"/>
      <c r="BA2" s="643"/>
      <c r="BB2" s="653"/>
      <c r="BC2" s="636">
        <v>2020</v>
      </c>
      <c r="BD2" s="637"/>
      <c r="BE2" s="637"/>
      <c r="BF2" s="652"/>
    </row>
    <row r="3" spans="1:58" s="14" customFormat="1" ht="26.25" customHeight="1">
      <c r="A3" s="640"/>
      <c r="B3" s="640"/>
      <c r="C3" s="20" t="s">
        <v>149</v>
      </c>
      <c r="D3" s="21" t="s">
        <v>150</v>
      </c>
      <c r="E3" s="21" t="s">
        <v>151</v>
      </c>
      <c r="F3" s="21" t="s">
        <v>152</v>
      </c>
      <c r="G3" s="20" t="s">
        <v>149</v>
      </c>
      <c r="H3" s="21" t="s">
        <v>150</v>
      </c>
      <c r="I3" s="21" t="s">
        <v>151</v>
      </c>
      <c r="J3" s="21" t="s">
        <v>152</v>
      </c>
      <c r="K3" s="20" t="s">
        <v>149</v>
      </c>
      <c r="L3" s="21" t="s">
        <v>150</v>
      </c>
      <c r="M3" s="21" t="s">
        <v>151</v>
      </c>
      <c r="N3" s="21" t="s">
        <v>152</v>
      </c>
      <c r="O3" s="20" t="s">
        <v>149</v>
      </c>
      <c r="P3" s="21" t="s">
        <v>150</v>
      </c>
      <c r="Q3" s="21" t="s">
        <v>151</v>
      </c>
      <c r="R3" s="21" t="s">
        <v>152</v>
      </c>
      <c r="S3" s="20" t="s">
        <v>149</v>
      </c>
      <c r="T3" s="21" t="s">
        <v>150</v>
      </c>
      <c r="U3" s="21" t="s">
        <v>151</v>
      </c>
      <c r="V3" s="21" t="s">
        <v>152</v>
      </c>
      <c r="W3" s="20" t="s">
        <v>149</v>
      </c>
      <c r="X3" s="21" t="s">
        <v>150</v>
      </c>
      <c r="Y3" s="21" t="s">
        <v>151</v>
      </c>
      <c r="Z3" s="43" t="s">
        <v>152</v>
      </c>
      <c r="AA3" s="20" t="s">
        <v>149</v>
      </c>
      <c r="AB3" s="21" t="s">
        <v>150</v>
      </c>
      <c r="AC3" s="21" t="s">
        <v>151</v>
      </c>
      <c r="AD3" s="43" t="s">
        <v>152</v>
      </c>
      <c r="AE3" s="21" t="s">
        <v>149</v>
      </c>
      <c r="AF3" s="21" t="s">
        <v>150</v>
      </c>
      <c r="AG3" s="21" t="s">
        <v>151</v>
      </c>
      <c r="AH3" s="21" t="s">
        <v>152</v>
      </c>
      <c r="AI3" s="20" t="s">
        <v>149</v>
      </c>
      <c r="AJ3" s="21" t="s">
        <v>150</v>
      </c>
      <c r="AK3" s="21" t="s">
        <v>151</v>
      </c>
      <c r="AL3" s="21" t="s">
        <v>152</v>
      </c>
      <c r="AM3" s="20" t="s">
        <v>149</v>
      </c>
      <c r="AN3" s="21" t="s">
        <v>150</v>
      </c>
      <c r="AO3" s="21" t="s">
        <v>151</v>
      </c>
      <c r="AP3" s="21" t="s">
        <v>152</v>
      </c>
      <c r="AQ3" s="20" t="s">
        <v>149</v>
      </c>
      <c r="AR3" s="21" t="s">
        <v>150</v>
      </c>
      <c r="AS3" s="21" t="s">
        <v>151</v>
      </c>
      <c r="AT3" s="21" t="s">
        <v>152</v>
      </c>
      <c r="AU3" s="20" t="s">
        <v>149</v>
      </c>
      <c r="AV3" s="21" t="s">
        <v>150</v>
      </c>
      <c r="AW3" s="21" t="s">
        <v>151</v>
      </c>
      <c r="AX3" s="348" t="s">
        <v>152</v>
      </c>
      <c r="AY3" s="349" t="s">
        <v>149</v>
      </c>
      <c r="AZ3" s="21" t="s">
        <v>150</v>
      </c>
      <c r="BA3" s="21" t="s">
        <v>151</v>
      </c>
      <c r="BB3" s="21" t="s">
        <v>152</v>
      </c>
      <c r="BC3" s="20" t="s">
        <v>149</v>
      </c>
      <c r="BD3" s="21" t="s">
        <v>150</v>
      </c>
      <c r="BE3" s="21" t="s">
        <v>151</v>
      </c>
      <c r="BF3" s="21" t="s">
        <v>152</v>
      </c>
    </row>
    <row r="4" spans="1:58" s="14" customFormat="1" ht="12.75" customHeight="1">
      <c r="A4" s="22" t="s">
        <v>154</v>
      </c>
      <c r="B4" s="22" t="s">
        <v>11</v>
      </c>
      <c r="C4" s="23"/>
      <c r="D4" s="24"/>
      <c r="E4" s="24"/>
      <c r="F4" s="24"/>
      <c r="G4" s="23"/>
      <c r="H4" s="24"/>
      <c r="I4" s="24"/>
      <c r="J4" s="25"/>
      <c r="K4" s="23"/>
      <c r="L4" s="24"/>
      <c r="M4" s="24"/>
      <c r="N4" s="25"/>
      <c r="O4" s="23"/>
      <c r="P4" s="24"/>
      <c r="Q4" s="24"/>
      <c r="R4" s="25"/>
      <c r="S4" s="23"/>
      <c r="T4" s="24"/>
      <c r="U4" s="24"/>
      <c r="V4" s="25"/>
      <c r="W4" s="23"/>
      <c r="X4" s="24"/>
      <c r="Y4" s="24"/>
      <c r="Z4" s="25"/>
      <c r="AA4" s="23"/>
      <c r="AB4" s="24"/>
      <c r="AC4" s="24"/>
      <c r="AD4" s="25"/>
      <c r="AE4" s="24"/>
      <c r="AF4" s="24"/>
      <c r="AG4" s="24"/>
      <c r="AH4" s="24"/>
      <c r="AI4" s="23"/>
      <c r="AJ4" s="24"/>
      <c r="AK4" s="24"/>
      <c r="AL4" s="24"/>
      <c r="AM4" s="23"/>
      <c r="AN4" s="24"/>
      <c r="AO4" s="24"/>
      <c r="AP4" s="24"/>
      <c r="AQ4" s="23"/>
      <c r="AR4" s="24"/>
      <c r="AS4" s="24"/>
      <c r="AT4" s="24"/>
      <c r="AU4" s="23"/>
      <c r="AV4" s="24"/>
      <c r="AW4" s="24"/>
      <c r="AX4" s="353"/>
      <c r="AY4" s="350"/>
      <c r="AZ4" s="172"/>
      <c r="BA4" s="172"/>
      <c r="BB4" s="172"/>
      <c r="BC4" s="23"/>
      <c r="BD4" s="24"/>
      <c r="BE4" s="24"/>
      <c r="BF4" s="24"/>
    </row>
    <row r="5" spans="1:58" s="506" customFormat="1">
      <c r="A5" s="421" t="s">
        <v>170</v>
      </c>
      <c r="B5" s="421" t="s">
        <v>35</v>
      </c>
      <c r="C5" s="435">
        <f t="shared" ref="C5:X5" si="0">SUM(C6:C9)</f>
        <v>219.23446177487298</v>
      </c>
      <c r="D5" s="436">
        <f t="shared" si="0"/>
        <v>212.83446177487298</v>
      </c>
      <c r="E5" s="436">
        <f t="shared" si="0"/>
        <v>221.73446177487301</v>
      </c>
      <c r="F5" s="436">
        <f t="shared" si="0"/>
        <v>192.53446177487299</v>
      </c>
      <c r="G5" s="435">
        <f t="shared" si="0"/>
        <v>285.24199121427245</v>
      </c>
      <c r="H5" s="436">
        <f t="shared" si="0"/>
        <v>273.34199121427247</v>
      </c>
      <c r="I5" s="436">
        <f t="shared" si="0"/>
        <v>277.34199121427247</v>
      </c>
      <c r="J5" s="437">
        <f t="shared" si="0"/>
        <v>34.441991214272434</v>
      </c>
      <c r="K5" s="435">
        <f t="shared" si="0"/>
        <v>263.01495819501633</v>
      </c>
      <c r="L5" s="436">
        <f t="shared" si="0"/>
        <v>335.11495819501636</v>
      </c>
      <c r="M5" s="436">
        <f t="shared" si="0"/>
        <v>367.21495819501638</v>
      </c>
      <c r="N5" s="437">
        <f t="shared" si="0"/>
        <v>282.81495819501635</v>
      </c>
      <c r="O5" s="435">
        <f t="shared" si="0"/>
        <v>353.23382920852202</v>
      </c>
      <c r="P5" s="436">
        <f t="shared" si="0"/>
        <v>321.43382920852201</v>
      </c>
      <c r="Q5" s="436">
        <f t="shared" si="0"/>
        <v>333.53382920852204</v>
      </c>
      <c r="R5" s="437">
        <f t="shared" si="0"/>
        <v>311.93382920852207</v>
      </c>
      <c r="S5" s="435">
        <f t="shared" si="0"/>
        <v>352.35273582985053</v>
      </c>
      <c r="T5" s="436">
        <f t="shared" si="0"/>
        <v>357.9527358298505</v>
      </c>
      <c r="U5" s="436">
        <f t="shared" si="0"/>
        <v>358.4527358298505</v>
      </c>
      <c r="V5" s="437">
        <f t="shared" si="0"/>
        <v>376.4527358298505</v>
      </c>
      <c r="W5" s="435">
        <f t="shared" si="0"/>
        <v>429.07316013128394</v>
      </c>
      <c r="X5" s="436">
        <f t="shared" si="0"/>
        <v>381.47316013128398</v>
      </c>
      <c r="Y5" s="436">
        <f t="shared" ref="Y5:AY5" si="1">SUM(Y6:Y9)</f>
        <v>376.87316013128395</v>
      </c>
      <c r="Z5" s="437">
        <f t="shared" si="1"/>
        <v>376.97316013128392</v>
      </c>
      <c r="AA5" s="435">
        <f t="shared" si="1"/>
        <v>415.33072898459631</v>
      </c>
      <c r="AB5" s="436">
        <f t="shared" si="1"/>
        <v>393.14739771935047</v>
      </c>
      <c r="AC5" s="436">
        <f t="shared" si="1"/>
        <v>382.87190215539556</v>
      </c>
      <c r="AD5" s="437">
        <f>SUM(AD6:AD9)</f>
        <v>383.94748555135504</v>
      </c>
      <c r="AE5" s="436">
        <f>SUM(AE6:AE9)</f>
        <v>398.59999999999997</v>
      </c>
      <c r="AF5" s="436">
        <f>SUM(AF6:AF9)</f>
        <v>400.9</v>
      </c>
      <c r="AG5" s="436">
        <f t="shared" si="1"/>
        <v>404.2</v>
      </c>
      <c r="AH5" s="436">
        <f t="shared" si="1"/>
        <v>397.70000000000005</v>
      </c>
      <c r="AI5" s="435">
        <f t="shared" si="1"/>
        <v>426.40000000000003</v>
      </c>
      <c r="AJ5" s="436">
        <f t="shared" si="1"/>
        <v>411.8</v>
      </c>
      <c r="AK5" s="436">
        <f t="shared" si="1"/>
        <v>406.5</v>
      </c>
      <c r="AL5" s="436">
        <f t="shared" si="1"/>
        <v>445.10000000000008</v>
      </c>
      <c r="AM5" s="435">
        <f t="shared" si="1"/>
        <v>448.20000000000005</v>
      </c>
      <c r="AN5" s="436">
        <f t="shared" si="1"/>
        <v>436.9</v>
      </c>
      <c r="AO5" s="436">
        <f t="shared" si="1"/>
        <v>466.50000000000006</v>
      </c>
      <c r="AP5" s="436">
        <f t="shared" si="1"/>
        <v>500.8</v>
      </c>
      <c r="AQ5" s="435">
        <f t="shared" si="1"/>
        <v>499.80000000000007</v>
      </c>
      <c r="AR5" s="436">
        <f t="shared" si="1"/>
        <v>514.6</v>
      </c>
      <c r="AS5" s="436">
        <f t="shared" si="1"/>
        <v>536.1</v>
      </c>
      <c r="AT5" s="436">
        <f t="shared" si="1"/>
        <v>540</v>
      </c>
      <c r="AU5" s="435">
        <f t="shared" si="1"/>
        <v>531.29999999999995</v>
      </c>
      <c r="AV5" s="436">
        <f t="shared" si="1"/>
        <v>522.79999999999995</v>
      </c>
      <c r="AW5" s="436">
        <f t="shared" si="1"/>
        <v>565.8900000000001</v>
      </c>
      <c r="AX5" s="438">
        <f t="shared" si="1"/>
        <v>571</v>
      </c>
      <c r="AY5" s="439">
        <f t="shared" si="1"/>
        <v>730.1</v>
      </c>
      <c r="AZ5" s="436">
        <f t="shared" ref="AZ5:BC5" si="2">SUM(AZ6:AZ9)</f>
        <v>741.4</v>
      </c>
      <c r="BA5" s="436">
        <f t="shared" si="2"/>
        <v>752.6</v>
      </c>
      <c r="BB5" s="436">
        <f t="shared" si="2"/>
        <v>772.6</v>
      </c>
      <c r="BC5" s="435">
        <f t="shared" si="2"/>
        <v>821.1</v>
      </c>
      <c r="BD5" s="436">
        <f t="shared" ref="BD5:BF5" si="3">SUM(BD6:BD9)</f>
        <v>802.9</v>
      </c>
      <c r="BE5" s="436">
        <f t="shared" si="3"/>
        <v>806.30000000000007</v>
      </c>
      <c r="BF5" s="436">
        <f t="shared" si="3"/>
        <v>841.74118616873704</v>
      </c>
    </row>
    <row r="6" spans="1:58" s="512" customFormat="1">
      <c r="A6" s="508" t="s">
        <v>692</v>
      </c>
      <c r="B6" s="508" t="s">
        <v>696</v>
      </c>
      <c r="C6" s="425">
        <v>98.1</v>
      </c>
      <c r="D6" s="337">
        <v>102.6</v>
      </c>
      <c r="E6" s="337">
        <v>105.8</v>
      </c>
      <c r="F6" s="337">
        <v>109.4</v>
      </c>
      <c r="G6" s="425">
        <v>129.1</v>
      </c>
      <c r="H6" s="337">
        <v>169.8</v>
      </c>
      <c r="I6" s="337">
        <v>150.30000000000001</v>
      </c>
      <c r="J6" s="338">
        <v>220.5</v>
      </c>
      <c r="K6" s="425">
        <v>188.1</v>
      </c>
      <c r="L6" s="337">
        <v>146</v>
      </c>
      <c r="M6" s="337">
        <v>224.9</v>
      </c>
      <c r="N6" s="338">
        <v>201.4</v>
      </c>
      <c r="O6" s="425">
        <v>212.4</v>
      </c>
      <c r="P6" s="337">
        <v>203.1</v>
      </c>
      <c r="Q6" s="337">
        <v>211.1</v>
      </c>
      <c r="R6" s="338">
        <v>185.2</v>
      </c>
      <c r="S6" s="425">
        <v>196.6</v>
      </c>
      <c r="T6" s="337">
        <v>213.7</v>
      </c>
      <c r="U6" s="337">
        <v>243.5</v>
      </c>
      <c r="V6" s="338">
        <v>242.8</v>
      </c>
      <c r="W6" s="425">
        <v>258.72617616226887</v>
      </c>
      <c r="X6" s="337">
        <v>248.32617616226889</v>
      </c>
      <c r="Y6" s="337">
        <v>239.32617616226889</v>
      </c>
      <c r="Z6" s="338">
        <v>256.32617616226889</v>
      </c>
      <c r="AA6" s="425">
        <v>233.6196325650003</v>
      </c>
      <c r="AB6" s="337">
        <v>235.29098005006938</v>
      </c>
      <c r="AC6" s="337">
        <v>244.47208093057918</v>
      </c>
      <c r="AD6" s="338">
        <v>248.55785797052508</v>
      </c>
      <c r="AE6" s="337">
        <v>250.5</v>
      </c>
      <c r="AF6" s="337">
        <v>235.5</v>
      </c>
      <c r="AG6" s="337">
        <v>234.6</v>
      </c>
      <c r="AH6" s="337">
        <v>241.7</v>
      </c>
      <c r="AI6" s="425">
        <v>224.6</v>
      </c>
      <c r="AJ6" s="337">
        <v>220.9</v>
      </c>
      <c r="AK6" s="337">
        <v>239.8</v>
      </c>
      <c r="AL6" s="337">
        <f>265.3-0.4</f>
        <v>264.90000000000003</v>
      </c>
      <c r="AM6" s="425">
        <v>265.3</v>
      </c>
      <c r="AN6" s="337">
        <f>261.3-0.1</f>
        <v>261.2</v>
      </c>
      <c r="AO6" s="337">
        <f>278+0.1</f>
        <v>278.10000000000002</v>
      </c>
      <c r="AP6" s="337">
        <v>286.2</v>
      </c>
      <c r="AQ6" s="425">
        <v>286.60000000000002</v>
      </c>
      <c r="AR6" s="337">
        <v>313.8</v>
      </c>
      <c r="AS6" s="337">
        <v>325.2</v>
      </c>
      <c r="AT6" s="337">
        <v>330.5</v>
      </c>
      <c r="AU6" s="425">
        <v>320.2</v>
      </c>
      <c r="AV6" s="337">
        <v>332.7</v>
      </c>
      <c r="AW6" s="337">
        <v>348.3</v>
      </c>
      <c r="AX6" s="426">
        <v>371.7</v>
      </c>
      <c r="AY6" s="427">
        <v>478.5</v>
      </c>
      <c r="AZ6" s="337">
        <v>488.1</v>
      </c>
      <c r="BA6" s="337">
        <v>531.70000000000005</v>
      </c>
      <c r="BB6" s="337">
        <v>516.9</v>
      </c>
      <c r="BC6" s="425">
        <v>535.20000000000005</v>
      </c>
      <c r="BD6" s="337">
        <v>522.29999999999995</v>
      </c>
      <c r="BE6" s="337">
        <v>523</v>
      </c>
      <c r="BF6" s="337">
        <v>521.43096251039879</v>
      </c>
    </row>
    <row r="7" spans="1:58" s="506" customFormat="1">
      <c r="A7" s="508" t="s">
        <v>693</v>
      </c>
      <c r="B7" s="508" t="s">
        <v>697</v>
      </c>
      <c r="C7" s="425">
        <v>93.134461774872989</v>
      </c>
      <c r="D7" s="337">
        <v>97.734461774872983</v>
      </c>
      <c r="E7" s="337">
        <v>96.634461774872989</v>
      </c>
      <c r="F7" s="337">
        <v>89.03446177487298</v>
      </c>
      <c r="G7" s="425">
        <v>83.641991214272437</v>
      </c>
      <c r="H7" s="337">
        <v>70.84199121427244</v>
      </c>
      <c r="I7" s="337">
        <v>88.741991214272446</v>
      </c>
      <c r="J7" s="338">
        <v>50.741991214272446</v>
      </c>
      <c r="K7" s="425">
        <v>91.314958195016345</v>
      </c>
      <c r="L7" s="337">
        <v>104.41495819501634</v>
      </c>
      <c r="M7" s="337">
        <v>97.314958195016345</v>
      </c>
      <c r="N7" s="338">
        <v>143.21495819501635</v>
      </c>
      <c r="O7" s="425">
        <v>115.13382920852204</v>
      </c>
      <c r="P7" s="337">
        <v>91.633829208522044</v>
      </c>
      <c r="Q7" s="337">
        <v>98.633829208522044</v>
      </c>
      <c r="R7" s="338">
        <v>163.73382920852205</v>
      </c>
      <c r="S7" s="425">
        <v>129.65273582985051</v>
      </c>
      <c r="T7" s="337">
        <v>140.05273582985052</v>
      </c>
      <c r="U7" s="337">
        <v>148.15273582985051</v>
      </c>
      <c r="V7" s="338">
        <v>135.75273582985051</v>
      </c>
      <c r="W7" s="425">
        <v>140.82925246575303</v>
      </c>
      <c r="X7" s="337">
        <v>145.92925246575302</v>
      </c>
      <c r="Y7" s="337">
        <v>144.62925246575304</v>
      </c>
      <c r="Z7" s="338">
        <v>146.52925246575302</v>
      </c>
      <c r="AA7" s="425">
        <v>144.23266832407612</v>
      </c>
      <c r="AB7" s="337">
        <v>147.46675124953669</v>
      </c>
      <c r="AC7" s="337">
        <v>147.56570154594971</v>
      </c>
      <c r="AD7" s="338">
        <v>145.40456913211457</v>
      </c>
      <c r="AE7" s="337">
        <v>154.19999999999999</v>
      </c>
      <c r="AF7" s="337">
        <v>156.5</v>
      </c>
      <c r="AG7" s="337">
        <v>160.4</v>
      </c>
      <c r="AH7" s="337">
        <v>155.4</v>
      </c>
      <c r="AI7" s="425">
        <v>160.5</v>
      </c>
      <c r="AJ7" s="337">
        <v>168.7</v>
      </c>
      <c r="AK7" s="337">
        <v>157.1</v>
      </c>
      <c r="AL7" s="337">
        <f>167.8+0.1</f>
        <v>167.9</v>
      </c>
      <c r="AM7" s="425">
        <v>163.80000000000001</v>
      </c>
      <c r="AN7" s="337">
        <f>165.9+0.1</f>
        <v>166</v>
      </c>
      <c r="AO7" s="337">
        <f>170.9-0.1</f>
        <v>170.8</v>
      </c>
      <c r="AP7" s="337">
        <v>183.5</v>
      </c>
      <c r="AQ7" s="425">
        <v>186.1</v>
      </c>
      <c r="AR7" s="337">
        <v>182.1</v>
      </c>
      <c r="AS7" s="337">
        <v>201.9</v>
      </c>
      <c r="AT7" s="337">
        <v>199</v>
      </c>
      <c r="AU7" s="425">
        <v>197.2</v>
      </c>
      <c r="AV7" s="337">
        <v>176.7</v>
      </c>
      <c r="AW7" s="337">
        <v>209.79000000000008</v>
      </c>
      <c r="AX7" s="426">
        <v>206.9</v>
      </c>
      <c r="AY7" s="427">
        <v>226.7</v>
      </c>
      <c r="AZ7" s="337">
        <v>228.7</v>
      </c>
      <c r="BA7" s="337">
        <v>233.9</v>
      </c>
      <c r="BB7" s="337">
        <v>233.3</v>
      </c>
      <c r="BC7" s="425">
        <v>256.8</v>
      </c>
      <c r="BD7" s="337">
        <v>236.5</v>
      </c>
      <c r="BE7" s="337">
        <v>271.10000000000002</v>
      </c>
      <c r="BF7" s="337">
        <v>306.7</v>
      </c>
    </row>
    <row r="8" spans="1:58" s="506" customFormat="1">
      <c r="A8" s="411" t="s">
        <v>694</v>
      </c>
      <c r="B8" s="411" t="s">
        <v>698</v>
      </c>
      <c r="C8" s="425">
        <v>28</v>
      </c>
      <c r="D8" s="337">
        <v>12.5</v>
      </c>
      <c r="E8" s="337">
        <v>19.3</v>
      </c>
      <c r="F8" s="337">
        <v>-5.9</v>
      </c>
      <c r="G8" s="425">
        <v>72.5</v>
      </c>
      <c r="H8" s="337">
        <v>32.700000000000003</v>
      </c>
      <c r="I8" s="337">
        <v>38.299999999999997</v>
      </c>
      <c r="J8" s="338">
        <v>-236.8</v>
      </c>
      <c r="K8" s="425">
        <v>-16.399999999999999</v>
      </c>
      <c r="L8" s="337">
        <v>84.7</v>
      </c>
      <c r="M8" s="337">
        <v>45</v>
      </c>
      <c r="N8" s="338">
        <v>-61.8</v>
      </c>
      <c r="O8" s="425">
        <v>25.7</v>
      </c>
      <c r="P8" s="337">
        <v>26.7</v>
      </c>
      <c r="Q8" s="337">
        <v>23.8</v>
      </c>
      <c r="R8" s="338">
        <v>-37</v>
      </c>
      <c r="S8" s="425">
        <v>26.1</v>
      </c>
      <c r="T8" s="337">
        <f>4.2</f>
        <v>4.2</v>
      </c>
      <c r="U8" s="337">
        <v>-33.200000000000003</v>
      </c>
      <c r="V8" s="338">
        <v>-2.1</v>
      </c>
      <c r="W8" s="425">
        <v>29.51773150326202</v>
      </c>
      <c r="X8" s="337">
        <v>-12.782268496737979</v>
      </c>
      <c r="Y8" s="337">
        <v>-7.0822684967379779</v>
      </c>
      <c r="Z8" s="338">
        <v>-25.882268496737979</v>
      </c>
      <c r="AA8" s="425">
        <v>37.478428095519881</v>
      </c>
      <c r="AB8" s="337">
        <v>10.389666419744405</v>
      </c>
      <c r="AC8" s="337">
        <v>-9.165880321133324</v>
      </c>
      <c r="AD8" s="338">
        <v>-10.01494155128459</v>
      </c>
      <c r="AE8" s="337">
        <v>-6.1</v>
      </c>
      <c r="AF8" s="337">
        <v>8.9</v>
      </c>
      <c r="AG8" s="337">
        <v>9.1999999999999993</v>
      </c>
      <c r="AH8" s="337">
        <v>0.6</v>
      </c>
      <c r="AI8" s="425">
        <v>41.3</v>
      </c>
      <c r="AJ8" s="337">
        <v>22.2</v>
      </c>
      <c r="AK8" s="337">
        <v>9.6</v>
      </c>
      <c r="AL8" s="337">
        <f>12.4-0.1</f>
        <v>12.3</v>
      </c>
      <c r="AM8" s="425">
        <v>19.100000000000001</v>
      </c>
      <c r="AN8" s="337">
        <v>9.6999999999999993</v>
      </c>
      <c r="AO8" s="337">
        <f>17.7-0.1</f>
        <v>17.599999999999998</v>
      </c>
      <c r="AP8" s="337">
        <v>31.1</v>
      </c>
      <c r="AQ8" s="425">
        <v>27.1</v>
      </c>
      <c r="AR8" s="337">
        <v>18.7</v>
      </c>
      <c r="AS8" s="337">
        <v>9</v>
      </c>
      <c r="AT8" s="337">
        <v>10.5</v>
      </c>
      <c r="AU8" s="425">
        <v>13.9</v>
      </c>
      <c r="AV8" s="337">
        <v>13.4</v>
      </c>
      <c r="AW8" s="337">
        <v>8</v>
      </c>
      <c r="AX8" s="426">
        <v>-7.5</v>
      </c>
      <c r="AY8" s="427">
        <v>25</v>
      </c>
      <c r="AZ8" s="337">
        <v>24.7</v>
      </c>
      <c r="BA8" s="337">
        <v>-12.7</v>
      </c>
      <c r="BB8" s="337">
        <v>22.8</v>
      </c>
      <c r="BC8" s="425">
        <v>29.1</v>
      </c>
      <c r="BD8" s="337">
        <v>44.1</v>
      </c>
      <c r="BE8" s="337">
        <v>12.2</v>
      </c>
      <c r="BF8" s="337">
        <v>13.610223658338228</v>
      </c>
    </row>
    <row r="9" spans="1:58" s="512" customFormat="1" ht="22.5" customHeight="1">
      <c r="A9" s="508" t="s">
        <v>171</v>
      </c>
      <c r="B9" s="508" t="s">
        <v>338</v>
      </c>
      <c r="C9" s="425">
        <v>0</v>
      </c>
      <c r="D9" s="337">
        <v>0</v>
      </c>
      <c r="E9" s="337">
        <v>0</v>
      </c>
      <c r="F9" s="337">
        <v>0</v>
      </c>
      <c r="G9" s="425">
        <v>0</v>
      </c>
      <c r="H9" s="337">
        <v>0</v>
      </c>
      <c r="I9" s="337">
        <v>0</v>
      </c>
      <c r="J9" s="338">
        <v>0</v>
      </c>
      <c r="K9" s="425">
        <v>0</v>
      </c>
      <c r="L9" s="337">
        <v>0</v>
      </c>
      <c r="M9" s="337">
        <v>0</v>
      </c>
      <c r="N9" s="338">
        <v>0</v>
      </c>
      <c r="O9" s="425">
        <v>0</v>
      </c>
      <c r="P9" s="337">
        <v>0</v>
      </c>
      <c r="Q9" s="337">
        <v>0</v>
      </c>
      <c r="R9" s="338">
        <v>0</v>
      </c>
      <c r="S9" s="425">
        <v>0</v>
      </c>
      <c r="T9" s="337">
        <v>0</v>
      </c>
      <c r="U9" s="337">
        <v>0</v>
      </c>
      <c r="V9" s="338">
        <v>0</v>
      </c>
      <c r="W9" s="425">
        <v>0</v>
      </c>
      <c r="X9" s="337">
        <v>0</v>
      </c>
      <c r="Y9" s="337">
        <v>0</v>
      </c>
      <c r="Z9" s="338">
        <v>0</v>
      </c>
      <c r="AA9" s="425">
        <v>0</v>
      </c>
      <c r="AB9" s="337">
        <v>0</v>
      </c>
      <c r="AC9" s="337">
        <v>0</v>
      </c>
      <c r="AD9" s="338">
        <v>0</v>
      </c>
      <c r="AE9" s="337">
        <v>0</v>
      </c>
      <c r="AF9" s="337">
        <v>0</v>
      </c>
      <c r="AG9" s="337">
        <v>0</v>
      </c>
      <c r="AH9" s="337">
        <v>0</v>
      </c>
      <c r="AI9" s="425">
        <v>0</v>
      </c>
      <c r="AJ9" s="337">
        <v>0</v>
      </c>
      <c r="AK9" s="337">
        <v>0</v>
      </c>
      <c r="AL9" s="337">
        <v>0</v>
      </c>
      <c r="AM9" s="425">
        <v>0</v>
      </c>
      <c r="AN9" s="337">
        <v>0</v>
      </c>
      <c r="AO9" s="337">
        <v>0</v>
      </c>
      <c r="AP9" s="337">
        <v>0</v>
      </c>
      <c r="AQ9" s="425">
        <v>0</v>
      </c>
      <c r="AR9" s="337">
        <v>0</v>
      </c>
      <c r="AS9" s="337">
        <v>0</v>
      </c>
      <c r="AT9" s="337">
        <v>0</v>
      </c>
      <c r="AU9" s="425">
        <v>0</v>
      </c>
      <c r="AV9" s="337">
        <v>0</v>
      </c>
      <c r="AW9" s="337">
        <v>-0.2</v>
      </c>
      <c r="AX9" s="426">
        <v>-9.9999999999999978E-2</v>
      </c>
      <c r="AY9" s="427">
        <v>-0.1</v>
      </c>
      <c r="AZ9" s="337">
        <v>-0.1</v>
      </c>
      <c r="BA9" s="337">
        <v>-0.3</v>
      </c>
      <c r="BB9" s="337">
        <v>-0.4</v>
      </c>
      <c r="BC9" s="425">
        <v>0</v>
      </c>
      <c r="BD9" s="337">
        <v>0</v>
      </c>
      <c r="BE9" s="337">
        <v>0</v>
      </c>
      <c r="BF9" s="337">
        <v>0</v>
      </c>
    </row>
    <row r="10" spans="1:58" s="511" customFormat="1">
      <c r="A10" s="525" t="s">
        <v>172</v>
      </c>
      <c r="B10" s="525" t="s">
        <v>36</v>
      </c>
      <c r="C10" s="435">
        <f t="shared" ref="C10:AO10" si="4">SUM(C11:C13)</f>
        <v>122.83446177487298</v>
      </c>
      <c r="D10" s="436">
        <f t="shared" si="4"/>
        <v>126.33446177487298</v>
      </c>
      <c r="E10" s="436">
        <f t="shared" si="4"/>
        <v>130.53446177487297</v>
      </c>
      <c r="F10" s="436">
        <f t="shared" si="4"/>
        <v>130.33446177487298</v>
      </c>
      <c r="G10" s="435">
        <f t="shared" si="4"/>
        <v>133.34199121427244</v>
      </c>
      <c r="H10" s="436">
        <f t="shared" si="4"/>
        <v>138.34199121427244</v>
      </c>
      <c r="I10" s="436">
        <f t="shared" si="4"/>
        <v>157.24199121427245</v>
      </c>
      <c r="J10" s="437">
        <f t="shared" si="4"/>
        <v>110.04199121427244</v>
      </c>
      <c r="K10" s="435">
        <f t="shared" si="4"/>
        <v>136.51495819501636</v>
      </c>
      <c r="L10" s="436">
        <f t="shared" si="4"/>
        <v>137.41495819501634</v>
      </c>
      <c r="M10" s="436">
        <f t="shared" si="4"/>
        <v>143.91495819501637</v>
      </c>
      <c r="N10" s="437">
        <f t="shared" si="4"/>
        <v>121.01495819501636</v>
      </c>
      <c r="O10" s="435">
        <f t="shared" si="4"/>
        <v>144.93382920852207</v>
      </c>
      <c r="P10" s="436">
        <f t="shared" si="4"/>
        <v>149.33382920852205</v>
      </c>
      <c r="Q10" s="436">
        <f t="shared" si="4"/>
        <v>146.73382920852205</v>
      </c>
      <c r="R10" s="437">
        <f t="shared" si="4"/>
        <v>143.43382920852204</v>
      </c>
      <c r="S10" s="435">
        <f t="shared" si="4"/>
        <v>162.85273582985053</v>
      </c>
      <c r="T10" s="436">
        <f t="shared" si="4"/>
        <v>176.55273582985052</v>
      </c>
      <c r="U10" s="436">
        <f t="shared" si="4"/>
        <v>167.85273582985053</v>
      </c>
      <c r="V10" s="437">
        <f t="shared" si="4"/>
        <v>170.65273582985054</v>
      </c>
      <c r="W10" s="435">
        <f t="shared" si="4"/>
        <v>187.69942504974131</v>
      </c>
      <c r="X10" s="436">
        <f t="shared" si="4"/>
        <v>180.49566684775795</v>
      </c>
      <c r="Y10" s="436">
        <f t="shared" si="4"/>
        <v>185.80008070761249</v>
      </c>
      <c r="Z10" s="437">
        <f t="shared" si="4"/>
        <v>187.38694549964663</v>
      </c>
      <c r="AA10" s="435">
        <f>SUM(AA11:AA13)</f>
        <v>180.39009594402339</v>
      </c>
      <c r="AB10" s="436">
        <f t="shared" si="4"/>
        <v>180.1690196030097</v>
      </c>
      <c r="AC10" s="436">
        <f t="shared" si="4"/>
        <v>177.1955593384593</v>
      </c>
      <c r="AD10" s="437">
        <f>SUM(AD11:AD13)</f>
        <v>176.39177659892943</v>
      </c>
      <c r="AE10" s="436">
        <f>SUM(AE11:AE13)</f>
        <v>187</v>
      </c>
      <c r="AF10" s="436">
        <f>SUM(AF11:AF13)</f>
        <v>191.3</v>
      </c>
      <c r="AG10" s="436">
        <f t="shared" si="4"/>
        <v>203</v>
      </c>
      <c r="AH10" s="436">
        <f t="shared" si="4"/>
        <v>196.2</v>
      </c>
      <c r="AI10" s="435">
        <f t="shared" si="4"/>
        <v>184</v>
      </c>
      <c r="AJ10" s="436">
        <f t="shared" si="4"/>
        <v>199.10000000000002</v>
      </c>
      <c r="AK10" s="436">
        <f t="shared" si="4"/>
        <v>197.2</v>
      </c>
      <c r="AL10" s="436">
        <f t="shared" si="4"/>
        <v>258</v>
      </c>
      <c r="AM10" s="435">
        <f t="shared" si="4"/>
        <v>204.3</v>
      </c>
      <c r="AN10" s="436">
        <f t="shared" si="4"/>
        <v>215.2</v>
      </c>
      <c r="AO10" s="436">
        <f t="shared" si="4"/>
        <v>198.10000000000002</v>
      </c>
      <c r="AP10" s="436">
        <f t="shared" ref="AP10:AY10" si="5">SUM(AP11:AP13)</f>
        <v>246</v>
      </c>
      <c r="AQ10" s="435">
        <f t="shared" si="5"/>
        <v>220</v>
      </c>
      <c r="AR10" s="436">
        <f t="shared" si="5"/>
        <v>204.9</v>
      </c>
      <c r="AS10" s="436">
        <f t="shared" si="5"/>
        <v>212.10000000000002</v>
      </c>
      <c r="AT10" s="436">
        <f t="shared" si="5"/>
        <v>226.1</v>
      </c>
      <c r="AU10" s="435">
        <f t="shared" si="5"/>
        <v>255.7</v>
      </c>
      <c r="AV10" s="436">
        <f t="shared" si="5"/>
        <v>223.8</v>
      </c>
      <c r="AW10" s="436">
        <f t="shared" si="5"/>
        <v>233.29999999999998</v>
      </c>
      <c r="AX10" s="438">
        <f t="shared" si="5"/>
        <v>228.8</v>
      </c>
      <c r="AY10" s="439">
        <f t="shared" si="5"/>
        <v>342.41174436889094</v>
      </c>
      <c r="AZ10" s="436">
        <f t="shared" ref="AZ10:BC10" si="6">SUM(AZ11:AZ13)</f>
        <v>274.81332718916786</v>
      </c>
      <c r="BA10" s="436">
        <f t="shared" si="6"/>
        <v>264.45468078227896</v>
      </c>
      <c r="BB10" s="436">
        <f t="shared" si="6"/>
        <v>291.77434337840248</v>
      </c>
      <c r="BC10" s="435">
        <f t="shared" si="6"/>
        <v>390.79999999999995</v>
      </c>
      <c r="BD10" s="436">
        <f t="shared" ref="BD10:BF10" si="7">SUM(BD11:BD13)</f>
        <v>286.55509877492801</v>
      </c>
      <c r="BE10" s="436">
        <f t="shared" si="7"/>
        <v>310.10000000000002</v>
      </c>
      <c r="BF10" s="436">
        <f t="shared" si="7"/>
        <v>335.42327723791487</v>
      </c>
    </row>
    <row r="11" spans="1:58" s="511" customFormat="1">
      <c r="A11" s="412" t="s">
        <v>318</v>
      </c>
      <c r="B11" s="412" t="s">
        <v>684</v>
      </c>
      <c r="C11" s="425">
        <v>56.3</v>
      </c>
      <c r="D11" s="337">
        <v>61.3</v>
      </c>
      <c r="E11" s="337">
        <v>63.6</v>
      </c>
      <c r="F11" s="337">
        <v>70.8</v>
      </c>
      <c r="G11" s="425">
        <v>68.900000000000006</v>
      </c>
      <c r="H11" s="337">
        <v>69.7</v>
      </c>
      <c r="I11" s="337">
        <v>79.5</v>
      </c>
      <c r="J11" s="338">
        <v>78.5</v>
      </c>
      <c r="K11" s="425">
        <v>54.6</v>
      </c>
      <c r="L11" s="337">
        <v>72.099999999999994</v>
      </c>
      <c r="M11" s="337">
        <v>68.2</v>
      </c>
      <c r="N11" s="338">
        <v>83.4</v>
      </c>
      <c r="O11" s="425">
        <v>68.900000000000006</v>
      </c>
      <c r="P11" s="337">
        <v>71.599999999999994</v>
      </c>
      <c r="Q11" s="337">
        <v>75.3</v>
      </c>
      <c r="R11" s="338">
        <v>97.2</v>
      </c>
      <c r="S11" s="425">
        <v>78.3</v>
      </c>
      <c r="T11" s="337">
        <v>91.7</v>
      </c>
      <c r="U11" s="337">
        <v>88.8</v>
      </c>
      <c r="V11" s="338">
        <v>89.6</v>
      </c>
      <c r="W11" s="425">
        <v>98.371881631303836</v>
      </c>
      <c r="X11" s="337">
        <v>85.770249158076766</v>
      </c>
      <c r="Y11" s="337">
        <v>93.128728820597274</v>
      </c>
      <c r="Z11" s="338">
        <v>108.2230231998161</v>
      </c>
      <c r="AA11" s="425">
        <v>97.831768072691887</v>
      </c>
      <c r="AB11" s="337">
        <v>96.99018514326211</v>
      </c>
      <c r="AC11" s="337">
        <v>99.186030789632824</v>
      </c>
      <c r="AD11" s="338">
        <v>88.889015199013357</v>
      </c>
      <c r="AE11" s="337">
        <v>98.9</v>
      </c>
      <c r="AF11" s="337">
        <v>103</v>
      </c>
      <c r="AG11" s="337">
        <v>104.6</v>
      </c>
      <c r="AH11" s="337">
        <v>98.5</v>
      </c>
      <c r="AI11" s="425">
        <v>103.5</v>
      </c>
      <c r="AJ11" s="337">
        <v>101.9</v>
      </c>
      <c r="AK11" s="337">
        <v>105.7</v>
      </c>
      <c r="AL11" s="337">
        <v>106.1</v>
      </c>
      <c r="AM11" s="425">
        <v>107.5</v>
      </c>
      <c r="AN11" s="337">
        <v>106.4</v>
      </c>
      <c r="AO11" s="337">
        <v>108.4</v>
      </c>
      <c r="AP11" s="337">
        <v>117.9</v>
      </c>
      <c r="AQ11" s="425">
        <v>106.4</v>
      </c>
      <c r="AR11" s="337">
        <v>107.4</v>
      </c>
      <c r="AS11" s="337">
        <v>107.5</v>
      </c>
      <c r="AT11" s="337">
        <v>107.3</v>
      </c>
      <c r="AU11" s="425">
        <v>113</v>
      </c>
      <c r="AV11" s="337">
        <v>117.7</v>
      </c>
      <c r="AW11" s="337">
        <v>116.6</v>
      </c>
      <c r="AX11" s="426">
        <v>98.4</v>
      </c>
      <c r="AY11" s="427">
        <v>139.95609536350469</v>
      </c>
      <c r="AZ11" s="337">
        <v>144.22788084766614</v>
      </c>
      <c r="BA11" s="337">
        <v>152.0987234961637</v>
      </c>
      <c r="BB11" s="337">
        <v>149.904331403105</v>
      </c>
      <c r="BC11" s="425">
        <v>153.69999999999999</v>
      </c>
      <c r="BD11" s="337">
        <v>155.55088873375459</v>
      </c>
      <c r="BE11" s="337">
        <v>166.5</v>
      </c>
      <c r="BF11" s="337">
        <v>187.49051232749076</v>
      </c>
    </row>
    <row r="12" spans="1:58" s="506" customFormat="1">
      <c r="A12" s="508" t="s">
        <v>319</v>
      </c>
      <c r="B12" s="508" t="s">
        <v>685</v>
      </c>
      <c r="C12" s="425">
        <v>12.6</v>
      </c>
      <c r="D12" s="337">
        <v>13.2</v>
      </c>
      <c r="E12" s="337">
        <v>12.7</v>
      </c>
      <c r="F12" s="337">
        <v>17.8</v>
      </c>
      <c r="G12" s="425">
        <v>8.3000000000000007</v>
      </c>
      <c r="H12" s="337">
        <v>8</v>
      </c>
      <c r="I12" s="337">
        <v>9.4</v>
      </c>
      <c r="J12" s="338">
        <v>8.6</v>
      </c>
      <c r="K12" s="425">
        <v>7.7</v>
      </c>
      <c r="L12" s="337">
        <v>7.7</v>
      </c>
      <c r="M12" s="337">
        <v>6.1</v>
      </c>
      <c r="N12" s="338">
        <v>7.9</v>
      </c>
      <c r="O12" s="425">
        <v>7.5</v>
      </c>
      <c r="P12" s="337">
        <v>7.5</v>
      </c>
      <c r="Q12" s="337">
        <v>7.9</v>
      </c>
      <c r="R12" s="338">
        <v>8.5</v>
      </c>
      <c r="S12" s="425">
        <v>8.6999999999999993</v>
      </c>
      <c r="T12" s="337">
        <v>9.8000000000000007</v>
      </c>
      <c r="U12" s="337">
        <v>9.5</v>
      </c>
      <c r="V12" s="338">
        <v>11.2</v>
      </c>
      <c r="W12" s="425">
        <v>9.3981721755394911</v>
      </c>
      <c r="X12" s="337">
        <v>9.6978171793116132</v>
      </c>
      <c r="Y12" s="337">
        <v>9.5887882023330384</v>
      </c>
      <c r="Z12" s="338">
        <v>14.187547462931358</v>
      </c>
      <c r="AA12" s="425">
        <v>11.06296645295906</v>
      </c>
      <c r="AB12" s="337">
        <v>11.910295494393718</v>
      </c>
      <c r="AC12" s="337">
        <v>11.679973207596605</v>
      </c>
      <c r="AD12" s="338">
        <v>12.561587206955135</v>
      </c>
      <c r="AE12" s="337">
        <v>11.6</v>
      </c>
      <c r="AF12" s="337">
        <v>11.8</v>
      </c>
      <c r="AG12" s="337">
        <v>12.5</v>
      </c>
      <c r="AH12" s="337">
        <v>16.899999999999999</v>
      </c>
      <c r="AI12" s="425">
        <v>12.3</v>
      </c>
      <c r="AJ12" s="337">
        <v>10.8</v>
      </c>
      <c r="AK12" s="337">
        <v>14.6</v>
      </c>
      <c r="AL12" s="337">
        <v>10.7</v>
      </c>
      <c r="AM12" s="425">
        <v>9.6999999999999993</v>
      </c>
      <c r="AN12" s="337">
        <v>10.8</v>
      </c>
      <c r="AO12" s="337">
        <v>10.1</v>
      </c>
      <c r="AP12" s="337">
        <v>24.1</v>
      </c>
      <c r="AQ12" s="425">
        <v>10.7</v>
      </c>
      <c r="AR12" s="337">
        <v>9.3000000000000007</v>
      </c>
      <c r="AS12" s="337">
        <v>9.6999999999999993</v>
      </c>
      <c r="AT12" s="337">
        <v>10.3</v>
      </c>
      <c r="AU12" s="425">
        <v>11</v>
      </c>
      <c r="AV12" s="337">
        <v>9.3000000000000007</v>
      </c>
      <c r="AW12" s="337">
        <v>11.1</v>
      </c>
      <c r="AX12" s="426">
        <v>20.8</v>
      </c>
      <c r="AY12" s="427">
        <v>22.467634742206094</v>
      </c>
      <c r="AZ12" s="337">
        <v>23.089396521534397</v>
      </c>
      <c r="BA12" s="337">
        <v>21.853975377439021</v>
      </c>
      <c r="BB12" s="337">
        <v>24.960635686488189</v>
      </c>
      <c r="BC12" s="425">
        <v>23.2</v>
      </c>
      <c r="BD12" s="337">
        <v>23.968211840397792</v>
      </c>
      <c r="BE12" s="337">
        <v>27.3</v>
      </c>
      <c r="BF12" s="337">
        <v>28.822887799938158</v>
      </c>
    </row>
    <row r="13" spans="1:58" s="511" customFormat="1">
      <c r="A13" s="508" t="s">
        <v>320</v>
      </c>
      <c r="B13" s="508" t="s">
        <v>686</v>
      </c>
      <c r="C13" s="425">
        <v>53.934461774872986</v>
      </c>
      <c r="D13" s="337">
        <v>51.834461774872985</v>
      </c>
      <c r="E13" s="337">
        <v>54.234461774872983</v>
      </c>
      <c r="F13" s="337">
        <v>41.734461774872983</v>
      </c>
      <c r="G13" s="425">
        <v>56.141991214272444</v>
      </c>
      <c r="H13" s="337">
        <v>60.641991214272444</v>
      </c>
      <c r="I13" s="337">
        <v>68.34199121427244</v>
      </c>
      <c r="J13" s="338">
        <v>22.941991214272445</v>
      </c>
      <c r="K13" s="425">
        <v>74.214958195016351</v>
      </c>
      <c r="L13" s="337">
        <v>57.614958195016349</v>
      </c>
      <c r="M13" s="337">
        <v>69.614958195016357</v>
      </c>
      <c r="N13" s="338">
        <v>29.714958195016351</v>
      </c>
      <c r="O13" s="425">
        <v>68.53382920852205</v>
      </c>
      <c r="P13" s="337">
        <v>70.233829208522053</v>
      </c>
      <c r="Q13" s="337">
        <v>63.53382920852205</v>
      </c>
      <c r="R13" s="338">
        <v>37.733829208522046</v>
      </c>
      <c r="S13" s="425">
        <v>75.852735829850516</v>
      </c>
      <c r="T13" s="337">
        <v>75.052735829850533</v>
      </c>
      <c r="U13" s="337">
        <v>69.552735829850519</v>
      </c>
      <c r="V13" s="338">
        <v>69.852735829850531</v>
      </c>
      <c r="W13" s="425">
        <v>79.929371242897986</v>
      </c>
      <c r="X13" s="337">
        <v>85.027600510369552</v>
      </c>
      <c r="Y13" s="337">
        <v>83.082563684682185</v>
      </c>
      <c r="Z13" s="338">
        <v>64.976374836899154</v>
      </c>
      <c r="AA13" s="425">
        <v>71.49536141837244</v>
      </c>
      <c r="AB13" s="337">
        <v>71.268538965353855</v>
      </c>
      <c r="AC13" s="337">
        <v>66.329555341229863</v>
      </c>
      <c r="AD13" s="338">
        <v>74.941174192960943</v>
      </c>
      <c r="AE13" s="337">
        <v>76.5</v>
      </c>
      <c r="AF13" s="337">
        <v>76.5</v>
      </c>
      <c r="AG13" s="337">
        <v>85.9</v>
      </c>
      <c r="AH13" s="337">
        <v>80.8</v>
      </c>
      <c r="AI13" s="425">
        <v>68.2</v>
      </c>
      <c r="AJ13" s="337">
        <v>86.4</v>
      </c>
      <c r="AK13" s="337">
        <v>76.900000000000006</v>
      </c>
      <c r="AL13" s="337">
        <v>141.19999999999999</v>
      </c>
      <c r="AM13" s="425">
        <v>87.1</v>
      </c>
      <c r="AN13" s="337">
        <v>98</v>
      </c>
      <c r="AO13" s="337">
        <f>79.7-0.1</f>
        <v>79.600000000000009</v>
      </c>
      <c r="AP13" s="337">
        <v>104</v>
      </c>
      <c r="AQ13" s="425">
        <v>102.9</v>
      </c>
      <c r="AR13" s="337">
        <v>88.2</v>
      </c>
      <c r="AS13" s="337">
        <v>94.9</v>
      </c>
      <c r="AT13" s="337">
        <v>108.5</v>
      </c>
      <c r="AU13" s="425">
        <v>131.69999999999999</v>
      </c>
      <c r="AV13" s="337">
        <v>96.8</v>
      </c>
      <c r="AW13" s="337">
        <v>105.6</v>
      </c>
      <c r="AX13" s="426">
        <v>109.6</v>
      </c>
      <c r="AY13" s="427">
        <v>179.98801426318016</v>
      </c>
      <c r="AZ13" s="337">
        <v>107.49604981996731</v>
      </c>
      <c r="BA13" s="337">
        <v>90.501981908676214</v>
      </c>
      <c r="BB13" s="337">
        <v>116.90937628880926</v>
      </c>
      <c r="BC13" s="425">
        <v>213.9</v>
      </c>
      <c r="BD13" s="337">
        <v>107.03599820077562</v>
      </c>
      <c r="BE13" s="337">
        <v>116.3</v>
      </c>
      <c r="BF13" s="337">
        <v>119.10987711048597</v>
      </c>
    </row>
    <row r="14" spans="1:58" s="511" customFormat="1">
      <c r="A14" s="509" t="s">
        <v>315</v>
      </c>
      <c r="B14" s="509" t="s">
        <v>339</v>
      </c>
      <c r="C14" s="435">
        <f>C5-C10</f>
        <v>96.4</v>
      </c>
      <c r="D14" s="436">
        <f t="shared" ref="D14:AO14" si="8">D5-D10</f>
        <v>86.5</v>
      </c>
      <c r="E14" s="436">
        <f t="shared" si="8"/>
        <v>91.200000000000045</v>
      </c>
      <c r="F14" s="436">
        <f t="shared" si="8"/>
        <v>62.200000000000017</v>
      </c>
      <c r="G14" s="435">
        <f t="shared" si="8"/>
        <v>151.9</v>
      </c>
      <c r="H14" s="436">
        <f t="shared" si="8"/>
        <v>135.00000000000003</v>
      </c>
      <c r="I14" s="436">
        <f t="shared" si="8"/>
        <v>120.10000000000002</v>
      </c>
      <c r="J14" s="437">
        <f t="shared" si="8"/>
        <v>-75.600000000000009</v>
      </c>
      <c r="K14" s="435">
        <f t="shared" si="8"/>
        <v>126.49999999999997</v>
      </c>
      <c r="L14" s="436">
        <f t="shared" si="8"/>
        <v>197.70000000000002</v>
      </c>
      <c r="M14" s="436">
        <f t="shared" si="8"/>
        <v>223.3</v>
      </c>
      <c r="N14" s="437">
        <f t="shared" si="8"/>
        <v>161.79999999999998</v>
      </c>
      <c r="O14" s="435">
        <f t="shared" si="8"/>
        <v>208.29999999999995</v>
      </c>
      <c r="P14" s="436">
        <f t="shared" si="8"/>
        <v>172.09999999999997</v>
      </c>
      <c r="Q14" s="436">
        <f t="shared" si="8"/>
        <v>186.79999999999998</v>
      </c>
      <c r="R14" s="437">
        <f t="shared" si="8"/>
        <v>168.50000000000003</v>
      </c>
      <c r="S14" s="435">
        <f t="shared" si="8"/>
        <v>189.5</v>
      </c>
      <c r="T14" s="436">
        <f t="shared" si="8"/>
        <v>181.39999999999998</v>
      </c>
      <c r="U14" s="436">
        <f t="shared" si="8"/>
        <v>190.59999999999997</v>
      </c>
      <c r="V14" s="437">
        <f t="shared" si="8"/>
        <v>205.79999999999995</v>
      </c>
      <c r="W14" s="435">
        <f t="shared" si="8"/>
        <v>241.37373508154263</v>
      </c>
      <c r="X14" s="436">
        <f t="shared" si="8"/>
        <v>200.97749328352603</v>
      </c>
      <c r="Y14" s="436">
        <f t="shared" si="8"/>
        <v>191.07307942367146</v>
      </c>
      <c r="Z14" s="437">
        <f t="shared" si="8"/>
        <v>189.58621463163729</v>
      </c>
      <c r="AA14" s="435">
        <f t="shared" si="8"/>
        <v>234.94063304057292</v>
      </c>
      <c r="AB14" s="436">
        <f t="shared" si="8"/>
        <v>212.97837811634076</v>
      </c>
      <c r="AC14" s="436">
        <f>AC5-AC10</f>
        <v>205.67634281693626</v>
      </c>
      <c r="AD14" s="437">
        <f>AD5-AD10</f>
        <v>207.55570895242562</v>
      </c>
      <c r="AE14" s="436">
        <f>AE5-AE10</f>
        <v>211.59999999999997</v>
      </c>
      <c r="AF14" s="436">
        <f>AF5-AF10</f>
        <v>209.59999999999997</v>
      </c>
      <c r="AG14" s="436">
        <f t="shared" si="8"/>
        <v>201.2</v>
      </c>
      <c r="AH14" s="436">
        <f t="shared" si="8"/>
        <v>201.50000000000006</v>
      </c>
      <c r="AI14" s="435">
        <f t="shared" si="8"/>
        <v>242.40000000000003</v>
      </c>
      <c r="AJ14" s="436">
        <f t="shared" si="8"/>
        <v>212.7</v>
      </c>
      <c r="AK14" s="436">
        <f t="shared" si="8"/>
        <v>209.3</v>
      </c>
      <c r="AL14" s="436">
        <f t="shared" si="8"/>
        <v>187.10000000000008</v>
      </c>
      <c r="AM14" s="435">
        <f t="shared" si="8"/>
        <v>243.90000000000003</v>
      </c>
      <c r="AN14" s="436">
        <f t="shared" si="8"/>
        <v>221.7</v>
      </c>
      <c r="AO14" s="436">
        <f t="shared" si="8"/>
        <v>268.40000000000003</v>
      </c>
      <c r="AP14" s="436">
        <f t="shared" ref="AP14:AY14" si="9">AP5-AP10</f>
        <v>254.8</v>
      </c>
      <c r="AQ14" s="435">
        <f t="shared" si="9"/>
        <v>279.80000000000007</v>
      </c>
      <c r="AR14" s="436">
        <f t="shared" si="9"/>
        <v>309.70000000000005</v>
      </c>
      <c r="AS14" s="436">
        <f t="shared" si="9"/>
        <v>324</v>
      </c>
      <c r="AT14" s="436">
        <f t="shared" si="9"/>
        <v>313.89999999999998</v>
      </c>
      <c r="AU14" s="435">
        <f t="shared" si="9"/>
        <v>275.59999999999997</v>
      </c>
      <c r="AV14" s="436">
        <f t="shared" si="9"/>
        <v>298.99999999999994</v>
      </c>
      <c r="AW14" s="436">
        <f t="shared" si="9"/>
        <v>332.59000000000015</v>
      </c>
      <c r="AX14" s="438">
        <f t="shared" si="9"/>
        <v>342.2</v>
      </c>
      <c r="AY14" s="439">
        <f t="shared" si="9"/>
        <v>387.68825563110909</v>
      </c>
      <c r="AZ14" s="436">
        <f t="shared" ref="AZ14:BC14" si="10">AZ5-AZ10</f>
        <v>466.58667281083211</v>
      </c>
      <c r="BA14" s="436">
        <f t="shared" si="10"/>
        <v>488.14531921772107</v>
      </c>
      <c r="BB14" s="436">
        <f t="shared" si="10"/>
        <v>480.82565662159755</v>
      </c>
      <c r="BC14" s="435">
        <f t="shared" si="10"/>
        <v>430.30000000000007</v>
      </c>
      <c r="BD14" s="436">
        <f t="shared" ref="BD14:BF14" si="11">BD5-BD10</f>
        <v>516.34490122507191</v>
      </c>
      <c r="BE14" s="436">
        <f t="shared" si="11"/>
        <v>496.20000000000005</v>
      </c>
      <c r="BF14" s="436">
        <f t="shared" si="11"/>
        <v>506.31790893082217</v>
      </c>
    </row>
    <row r="15" spans="1:58" s="511" customFormat="1">
      <c r="A15" s="412" t="s">
        <v>173</v>
      </c>
      <c r="B15" s="412" t="s">
        <v>340</v>
      </c>
      <c r="C15" s="425">
        <v>-3.9</v>
      </c>
      <c r="D15" s="337">
        <v>-16.3</v>
      </c>
      <c r="E15" s="337">
        <v>-39.4</v>
      </c>
      <c r="F15" s="337">
        <v>-3.6</v>
      </c>
      <c r="G15" s="425">
        <v>3.3</v>
      </c>
      <c r="H15" s="337">
        <v>-64.8</v>
      </c>
      <c r="I15" s="337">
        <v>2.2999999999999998</v>
      </c>
      <c r="J15" s="338">
        <v>96.4</v>
      </c>
      <c r="K15" s="425">
        <v>78.900000000000006</v>
      </c>
      <c r="L15" s="337">
        <v>67</v>
      </c>
      <c r="M15" s="337">
        <v>32.700000000000003</v>
      </c>
      <c r="N15" s="338">
        <v>62</v>
      </c>
      <c r="O15" s="425">
        <v>26.9</v>
      </c>
      <c r="P15" s="337">
        <v>26.2</v>
      </c>
      <c r="Q15" s="337">
        <v>33.799999999999997</v>
      </c>
      <c r="R15" s="338">
        <v>35.6</v>
      </c>
      <c r="S15" s="425">
        <v>23.2</v>
      </c>
      <c r="T15" s="337">
        <v>16.5</v>
      </c>
      <c r="U15" s="337">
        <v>6.1</v>
      </c>
      <c r="V15" s="338">
        <v>36.4</v>
      </c>
      <c r="W15" s="425">
        <v>45.1</v>
      </c>
      <c r="X15" s="337">
        <v>106</v>
      </c>
      <c r="Y15" s="337">
        <v>61.1</v>
      </c>
      <c r="Z15" s="338">
        <v>60.5</v>
      </c>
      <c r="AA15" s="425">
        <v>20.01907912384285</v>
      </c>
      <c r="AB15" s="337">
        <v>28.671281901578119</v>
      </c>
      <c r="AC15" s="337">
        <v>30.68972161345657</v>
      </c>
      <c r="AD15" s="338">
        <v>59.384944169852147</v>
      </c>
      <c r="AE15" s="337">
        <v>47.4</v>
      </c>
      <c r="AF15" s="337">
        <v>22.7</v>
      </c>
      <c r="AG15" s="337">
        <v>52</v>
      </c>
      <c r="AH15" s="337">
        <v>66.900000000000006</v>
      </c>
      <c r="AI15" s="425">
        <v>50.5</v>
      </c>
      <c r="AJ15" s="337">
        <v>40.700000000000003</v>
      </c>
      <c r="AK15" s="337">
        <v>24.2</v>
      </c>
      <c r="AL15" s="337">
        <f>46.9+0.1-0.1</f>
        <v>46.9</v>
      </c>
      <c r="AM15" s="425">
        <v>62.5</v>
      </c>
      <c r="AN15" s="337">
        <v>12.9</v>
      </c>
      <c r="AO15" s="337">
        <f>28.2-3.9</f>
        <v>24.3</v>
      </c>
      <c r="AP15" s="337">
        <v>63.4</v>
      </c>
      <c r="AQ15" s="425">
        <v>33.6</v>
      </c>
      <c r="AR15" s="337">
        <v>79.3</v>
      </c>
      <c r="AS15" s="337">
        <v>69.3</v>
      </c>
      <c r="AT15" s="337">
        <v>78.7</v>
      </c>
      <c r="AU15" s="425">
        <v>57.3</v>
      </c>
      <c r="AV15" s="337">
        <v>70.400000000000006</v>
      </c>
      <c r="AW15" s="337">
        <v>92.2</v>
      </c>
      <c r="AX15" s="426">
        <v>10</v>
      </c>
      <c r="AY15" s="427">
        <v>95.7</v>
      </c>
      <c r="AZ15" s="337">
        <v>103.5</v>
      </c>
      <c r="BA15" s="337">
        <v>119.4</v>
      </c>
      <c r="BB15" s="337">
        <v>93.3</v>
      </c>
      <c r="BC15" s="425">
        <v>185.2</v>
      </c>
      <c r="BD15" s="337">
        <v>241.6</v>
      </c>
      <c r="BE15" s="337">
        <v>62.9</v>
      </c>
      <c r="BF15" s="337">
        <v>-1.1000000000000001</v>
      </c>
    </row>
    <row r="16" spans="1:58" s="511" customFormat="1">
      <c r="A16" s="412" t="s">
        <v>533</v>
      </c>
      <c r="B16" s="412" t="s">
        <v>530</v>
      </c>
      <c r="C16" s="425">
        <v>0</v>
      </c>
      <c r="D16" s="337">
        <v>0</v>
      </c>
      <c r="E16" s="337">
        <v>0</v>
      </c>
      <c r="F16" s="337">
        <v>0</v>
      </c>
      <c r="G16" s="425">
        <v>0</v>
      </c>
      <c r="H16" s="337">
        <v>0</v>
      </c>
      <c r="I16" s="337">
        <v>0</v>
      </c>
      <c r="J16" s="337">
        <v>0</v>
      </c>
      <c r="K16" s="425">
        <v>0</v>
      </c>
      <c r="L16" s="337">
        <v>0</v>
      </c>
      <c r="M16" s="337">
        <v>0</v>
      </c>
      <c r="N16" s="337">
        <v>0</v>
      </c>
      <c r="O16" s="425">
        <v>0</v>
      </c>
      <c r="P16" s="337">
        <v>0</v>
      </c>
      <c r="Q16" s="337">
        <v>0</v>
      </c>
      <c r="R16" s="337">
        <v>0</v>
      </c>
      <c r="S16" s="425">
        <v>0</v>
      </c>
      <c r="T16" s="337">
        <v>0</v>
      </c>
      <c r="U16" s="337">
        <v>0</v>
      </c>
      <c r="V16" s="337">
        <v>0</v>
      </c>
      <c r="W16" s="425">
        <v>0</v>
      </c>
      <c r="X16" s="337">
        <v>0</v>
      </c>
      <c r="Y16" s="337">
        <v>0</v>
      </c>
      <c r="Z16" s="338">
        <v>0</v>
      </c>
      <c r="AA16" s="425">
        <v>0</v>
      </c>
      <c r="AB16" s="337">
        <v>0</v>
      </c>
      <c r="AC16" s="337">
        <v>0</v>
      </c>
      <c r="AD16" s="338">
        <v>0</v>
      </c>
      <c r="AE16" s="337">
        <v>0</v>
      </c>
      <c r="AF16" s="337">
        <v>0</v>
      </c>
      <c r="AG16" s="337">
        <v>0</v>
      </c>
      <c r="AH16" s="337">
        <v>0</v>
      </c>
      <c r="AI16" s="425">
        <v>0</v>
      </c>
      <c r="AJ16" s="337">
        <v>0</v>
      </c>
      <c r="AK16" s="337">
        <v>0</v>
      </c>
      <c r="AL16" s="337">
        <v>0</v>
      </c>
      <c r="AM16" s="425">
        <v>32.799999999999997</v>
      </c>
      <c r="AN16" s="337">
        <f>49</f>
        <v>49</v>
      </c>
      <c r="AO16" s="337">
        <f>48.1+0.1</f>
        <v>48.2</v>
      </c>
      <c r="AP16" s="337">
        <v>48.5</v>
      </c>
      <c r="AQ16" s="425">
        <v>47.5</v>
      </c>
      <c r="AR16" s="337">
        <v>52</v>
      </c>
      <c r="AS16" s="337">
        <v>51.7</v>
      </c>
      <c r="AT16" s="337">
        <v>52.4</v>
      </c>
      <c r="AU16" s="425">
        <v>51.8</v>
      </c>
      <c r="AV16" s="337">
        <v>54.1</v>
      </c>
      <c r="AW16" s="337">
        <v>55.2</v>
      </c>
      <c r="AX16" s="426">
        <v>57.800000000000004</v>
      </c>
      <c r="AY16" s="427">
        <v>64.099999999999994</v>
      </c>
      <c r="AZ16" s="337">
        <v>67.3</v>
      </c>
      <c r="BA16" s="337">
        <v>68.2</v>
      </c>
      <c r="BB16" s="337">
        <v>68.8</v>
      </c>
      <c r="BC16" s="425">
        <v>69.5</v>
      </c>
      <c r="BD16" s="337">
        <v>71.7</v>
      </c>
      <c r="BE16" s="337">
        <v>72.2</v>
      </c>
      <c r="BF16" s="337">
        <v>71.8</v>
      </c>
    </row>
    <row r="17" spans="1:58" s="15" customFormat="1" ht="29.45" customHeight="1">
      <c r="A17" s="51" t="s">
        <v>316</v>
      </c>
      <c r="B17" s="51" t="s">
        <v>341</v>
      </c>
      <c r="C17" s="37">
        <f>C14-C15</f>
        <v>100.30000000000001</v>
      </c>
      <c r="D17" s="38">
        <f t="shared" ref="D17:AG17" si="12">D14-D15</f>
        <v>102.8</v>
      </c>
      <c r="E17" s="38">
        <f t="shared" si="12"/>
        <v>130.60000000000005</v>
      </c>
      <c r="F17" s="38">
        <f t="shared" si="12"/>
        <v>65.800000000000011</v>
      </c>
      <c r="G17" s="37">
        <f t="shared" si="12"/>
        <v>148.6</v>
      </c>
      <c r="H17" s="38">
        <f t="shared" si="12"/>
        <v>199.8</v>
      </c>
      <c r="I17" s="38">
        <f t="shared" si="12"/>
        <v>117.80000000000003</v>
      </c>
      <c r="J17" s="38">
        <f t="shared" si="12"/>
        <v>-172</v>
      </c>
      <c r="K17" s="37">
        <f t="shared" si="12"/>
        <v>47.599999999999966</v>
      </c>
      <c r="L17" s="38">
        <f t="shared" si="12"/>
        <v>130.70000000000002</v>
      </c>
      <c r="M17" s="38">
        <f t="shared" si="12"/>
        <v>190.60000000000002</v>
      </c>
      <c r="N17" s="38">
        <f t="shared" si="12"/>
        <v>99.799999999999983</v>
      </c>
      <c r="O17" s="37">
        <f t="shared" si="12"/>
        <v>181.39999999999995</v>
      </c>
      <c r="P17" s="38">
        <f t="shared" si="12"/>
        <v>145.89999999999998</v>
      </c>
      <c r="Q17" s="38">
        <f t="shared" si="12"/>
        <v>153</v>
      </c>
      <c r="R17" s="38">
        <f t="shared" si="12"/>
        <v>132.90000000000003</v>
      </c>
      <c r="S17" s="37">
        <f t="shared" si="12"/>
        <v>166.3</v>
      </c>
      <c r="T17" s="38">
        <f t="shared" si="12"/>
        <v>164.89999999999998</v>
      </c>
      <c r="U17" s="38">
        <f t="shared" si="12"/>
        <v>184.49999999999997</v>
      </c>
      <c r="V17" s="38">
        <f t="shared" si="12"/>
        <v>169.39999999999995</v>
      </c>
      <c r="W17" s="37">
        <f t="shared" si="12"/>
        <v>196.27373508154264</v>
      </c>
      <c r="X17" s="38">
        <f t="shared" si="12"/>
        <v>94.97749328352603</v>
      </c>
      <c r="Y17" s="38">
        <f t="shared" si="12"/>
        <v>129.97307942367146</v>
      </c>
      <c r="Z17" s="39">
        <f t="shared" si="12"/>
        <v>129.08621463163729</v>
      </c>
      <c r="AA17" s="37">
        <f t="shared" si="12"/>
        <v>214.92155391673006</v>
      </c>
      <c r="AB17" s="38">
        <f t="shared" si="12"/>
        <v>184.30709621476265</v>
      </c>
      <c r="AC17" s="38">
        <f t="shared" si="12"/>
        <v>174.98662120347967</v>
      </c>
      <c r="AD17" s="39">
        <f>AD14-AD15</f>
        <v>148.17076478257349</v>
      </c>
      <c r="AE17" s="38">
        <f>AE14-AE15</f>
        <v>164.19999999999996</v>
      </c>
      <c r="AF17" s="38">
        <f>AF14-AF15</f>
        <v>186.89999999999998</v>
      </c>
      <c r="AG17" s="38">
        <f t="shared" si="12"/>
        <v>149.19999999999999</v>
      </c>
      <c r="AH17" s="38">
        <f>AH14-AH15</f>
        <v>134.60000000000005</v>
      </c>
      <c r="AI17" s="37">
        <f>AI14-AI15</f>
        <v>191.90000000000003</v>
      </c>
      <c r="AJ17" s="38">
        <f>AJ14-AJ15</f>
        <v>172</v>
      </c>
      <c r="AK17" s="38">
        <f>AK14-AK15</f>
        <v>185.10000000000002</v>
      </c>
      <c r="AL17" s="38">
        <f>AL14-AL15</f>
        <v>140.20000000000007</v>
      </c>
      <c r="AM17" s="37">
        <f t="shared" ref="AM17:AY17" si="13">AM14-AM15-AM16</f>
        <v>148.60000000000002</v>
      </c>
      <c r="AN17" s="38">
        <f t="shared" si="13"/>
        <v>159.79999999999998</v>
      </c>
      <c r="AO17" s="38">
        <f t="shared" si="13"/>
        <v>195.90000000000003</v>
      </c>
      <c r="AP17" s="38">
        <f t="shared" si="13"/>
        <v>142.9</v>
      </c>
      <c r="AQ17" s="37">
        <f t="shared" si="13"/>
        <v>198.70000000000007</v>
      </c>
      <c r="AR17" s="38">
        <f t="shared" si="13"/>
        <v>178.40000000000003</v>
      </c>
      <c r="AS17" s="38">
        <f t="shared" si="13"/>
        <v>203</v>
      </c>
      <c r="AT17" s="38">
        <f t="shared" si="13"/>
        <v>182.79999999999998</v>
      </c>
      <c r="AU17" s="37">
        <f t="shared" si="13"/>
        <v>166.49999999999994</v>
      </c>
      <c r="AV17" s="38">
        <f t="shared" si="13"/>
        <v>174.49999999999994</v>
      </c>
      <c r="AW17" s="38">
        <f t="shared" si="13"/>
        <v>185.19000000000017</v>
      </c>
      <c r="AX17" s="354">
        <f t="shared" si="13"/>
        <v>274.39999999999998</v>
      </c>
      <c r="AY17" s="355">
        <f t="shared" si="13"/>
        <v>227.8882556311091</v>
      </c>
      <c r="AZ17" s="38">
        <f t="shared" ref="AZ17:BC17" si="14">AZ14-AZ15-AZ16</f>
        <v>295.7866728108321</v>
      </c>
      <c r="BA17" s="38">
        <f t="shared" si="14"/>
        <v>300.5453192177211</v>
      </c>
      <c r="BB17" s="38">
        <f t="shared" si="14"/>
        <v>318.72565662159752</v>
      </c>
      <c r="BC17" s="37">
        <f t="shared" si="14"/>
        <v>175.60000000000008</v>
      </c>
      <c r="BD17" s="38">
        <f t="shared" ref="BD17:BF17" si="15">BD14-BD15-BD16</f>
        <v>203.0449012250719</v>
      </c>
      <c r="BE17" s="38">
        <f t="shared" si="15"/>
        <v>361.10000000000008</v>
      </c>
      <c r="BF17" s="38">
        <f t="shared" si="15"/>
        <v>435.61790893082218</v>
      </c>
    </row>
    <row r="18" spans="1:58">
      <c r="A18" s="650" t="s">
        <v>174</v>
      </c>
      <c r="B18" s="650" t="s">
        <v>37</v>
      </c>
      <c r="C18" s="169"/>
      <c r="D18" s="169"/>
      <c r="E18" s="169"/>
      <c r="F18" s="169"/>
      <c r="G18" s="169"/>
      <c r="H18" s="169"/>
      <c r="I18" s="169"/>
      <c r="J18" s="169"/>
      <c r="K18" s="169"/>
      <c r="L18" s="169"/>
      <c r="M18" s="169"/>
      <c r="N18" s="169"/>
      <c r="O18" s="169"/>
      <c r="P18" s="169"/>
      <c r="Q18" s="169"/>
      <c r="R18" s="169"/>
      <c r="S18" s="169"/>
      <c r="T18" s="169"/>
      <c r="U18" s="169"/>
      <c r="V18" s="169"/>
      <c r="W18" s="169"/>
      <c r="X18" s="169"/>
      <c r="Y18" s="169"/>
      <c r="Z18" s="169"/>
      <c r="AA18" s="169"/>
      <c r="AB18" s="169"/>
      <c r="AC18" s="169"/>
      <c r="AD18" s="169"/>
      <c r="AE18" s="169"/>
      <c r="AF18" s="169"/>
      <c r="AG18" s="169"/>
      <c r="AH18" s="169"/>
      <c r="AI18" s="169"/>
      <c r="AJ18" s="169"/>
      <c r="AK18" s="169"/>
      <c r="AL18" s="169"/>
      <c r="AM18" s="169"/>
      <c r="AN18" s="169"/>
      <c r="AO18" s="169"/>
      <c r="AP18" s="169"/>
      <c r="AQ18" s="169"/>
      <c r="AR18" s="169"/>
      <c r="AS18" s="169"/>
      <c r="AT18" s="169"/>
      <c r="AU18" s="169"/>
      <c r="AV18" s="169"/>
      <c r="AW18" s="169"/>
      <c r="AX18" s="169"/>
      <c r="AY18" s="169"/>
      <c r="AZ18" s="169"/>
      <c r="BA18" s="169"/>
      <c r="BB18" s="169"/>
      <c r="BC18" s="169"/>
      <c r="BD18" s="169"/>
      <c r="BE18" s="169"/>
      <c r="BF18" s="169"/>
    </row>
    <row r="19" spans="1:58">
      <c r="A19" s="651"/>
      <c r="B19" s="651"/>
    </row>
  </sheetData>
  <mergeCells count="18">
    <mergeCell ref="BC2:BF2"/>
    <mergeCell ref="AE2:AH2"/>
    <mergeCell ref="AI2:AL2"/>
    <mergeCell ref="AM2:AP2"/>
    <mergeCell ref="AY2:BB2"/>
    <mergeCell ref="AU2:AX2"/>
    <mergeCell ref="AQ2:AT2"/>
    <mergeCell ref="S2:V2"/>
    <mergeCell ref="W2:Z2"/>
    <mergeCell ref="AA2:AD2"/>
    <mergeCell ref="A18:A19"/>
    <mergeCell ref="B18:B19"/>
    <mergeCell ref="O2:R2"/>
    <mergeCell ref="A2:A3"/>
    <mergeCell ref="B2:B3"/>
    <mergeCell ref="C2:F2"/>
    <mergeCell ref="G2:J2"/>
    <mergeCell ref="K2:N2"/>
  </mergeCells>
  <printOptions horizontalCentered="1"/>
  <pageMargins left="0.23622047244094491" right="0.23622047244094491" top="0.74803149606299213" bottom="0.74803149606299213" header="0.31496062992125984" footer="0.31496062992125984"/>
  <pageSetup paperSize="9" scale="32"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pageSetUpPr fitToPage="1"/>
  </sheetPr>
  <dimension ref="A1:BF41"/>
  <sheetViews>
    <sheetView showGridLines="0" view="pageBreakPreview" zoomScaleNormal="100" zoomScaleSheetLayoutView="100" zoomScalePageLayoutView="80" workbookViewId="0">
      <pane xSplit="2" ySplit="4" topLeftCell="AO5" activePane="bottomRight" state="frozen"/>
      <selection pane="topRight" activeCell="C1" sqref="C1"/>
      <selection pane="bottomLeft" activeCell="A5" sqref="A5"/>
      <selection pane="bottomRight" activeCell="BC2" sqref="BC2:BF2"/>
    </sheetView>
  </sheetViews>
  <sheetFormatPr defaultColWidth="8.85546875" defaultRowHeight="13.5" outlineLevelCol="1"/>
  <cols>
    <col min="1" max="1" width="48.42578125" style="52" customWidth="1" outlineLevel="1"/>
    <col min="2" max="2" width="53" style="52" customWidth="1"/>
    <col min="3" max="47" width="6" style="13" customWidth="1"/>
    <col min="48" max="48" width="6.140625" style="13" customWidth="1"/>
    <col min="49" max="51" width="6" style="13" customWidth="1"/>
    <col min="52" max="52" width="6.140625" style="13" customWidth="1"/>
    <col min="53" max="55" width="6" style="13" customWidth="1"/>
    <col min="56" max="56" width="6.140625" style="13" customWidth="1"/>
    <col min="57" max="58" width="6" style="13" customWidth="1"/>
    <col min="59" max="16384" width="8.85546875" style="13"/>
  </cols>
  <sheetData>
    <row r="1" spans="1:58" ht="12.75" customHeight="1">
      <c r="A1" s="18" t="s">
        <v>538</v>
      </c>
      <c r="B1" s="18" t="s">
        <v>425</v>
      </c>
      <c r="AY1" s="350" t="s">
        <v>901</v>
      </c>
      <c r="AZ1" s="172"/>
      <c r="BA1" s="172"/>
      <c r="BB1" s="172"/>
    </row>
    <row r="2" spans="1:58">
      <c r="A2" s="639" t="s">
        <v>169</v>
      </c>
      <c r="B2" s="639" t="s">
        <v>34</v>
      </c>
      <c r="C2" s="636">
        <v>2007</v>
      </c>
      <c r="D2" s="641"/>
      <c r="E2" s="641"/>
      <c r="F2" s="641"/>
      <c r="G2" s="636">
        <v>2008</v>
      </c>
      <c r="H2" s="641"/>
      <c r="I2" s="641"/>
      <c r="J2" s="641"/>
      <c r="K2" s="636">
        <v>2009</v>
      </c>
      <c r="L2" s="641"/>
      <c r="M2" s="641"/>
      <c r="N2" s="641"/>
      <c r="O2" s="636">
        <v>2010</v>
      </c>
      <c r="P2" s="641"/>
      <c r="Q2" s="641"/>
      <c r="R2" s="641"/>
      <c r="S2" s="636">
        <v>2011</v>
      </c>
      <c r="T2" s="641"/>
      <c r="U2" s="641"/>
      <c r="V2" s="641"/>
      <c r="W2" s="636">
        <v>2012</v>
      </c>
      <c r="X2" s="641"/>
      <c r="Y2" s="641"/>
      <c r="Z2" s="642"/>
      <c r="AA2" s="636">
        <v>2013</v>
      </c>
      <c r="AB2" s="641"/>
      <c r="AC2" s="641"/>
      <c r="AD2" s="642"/>
      <c r="AE2" s="636">
        <v>2014</v>
      </c>
      <c r="AF2" s="641"/>
      <c r="AG2" s="641"/>
      <c r="AH2" s="641"/>
      <c r="AI2" s="636">
        <v>2015</v>
      </c>
      <c r="AJ2" s="641"/>
      <c r="AK2" s="641"/>
      <c r="AL2" s="642"/>
      <c r="AM2" s="636">
        <v>2016</v>
      </c>
      <c r="AN2" s="641"/>
      <c r="AO2" s="641"/>
      <c r="AP2" s="642"/>
      <c r="AQ2" s="636">
        <v>2017</v>
      </c>
      <c r="AR2" s="641"/>
      <c r="AS2" s="641"/>
      <c r="AT2" s="641">
        <v>2017</v>
      </c>
      <c r="AU2" s="647">
        <v>2018</v>
      </c>
      <c r="AV2" s="643"/>
      <c r="AW2" s="643"/>
      <c r="AX2" s="654"/>
      <c r="AY2" s="643">
        <v>2019</v>
      </c>
      <c r="AZ2" s="643"/>
      <c r="BA2" s="643"/>
      <c r="BB2" s="653"/>
      <c r="BC2" s="636">
        <v>2020</v>
      </c>
      <c r="BD2" s="637"/>
      <c r="BE2" s="637"/>
      <c r="BF2" s="652"/>
    </row>
    <row r="3" spans="1:58" s="14" customFormat="1" ht="27" customHeight="1">
      <c r="A3" s="640"/>
      <c r="B3" s="640"/>
      <c r="C3" s="20" t="s">
        <v>149</v>
      </c>
      <c r="D3" s="21" t="s">
        <v>150</v>
      </c>
      <c r="E3" s="21" t="s">
        <v>151</v>
      </c>
      <c r="F3" s="21" t="s">
        <v>152</v>
      </c>
      <c r="G3" s="20" t="s">
        <v>149</v>
      </c>
      <c r="H3" s="21" t="s">
        <v>150</v>
      </c>
      <c r="I3" s="21" t="s">
        <v>151</v>
      </c>
      <c r="J3" s="21" t="s">
        <v>152</v>
      </c>
      <c r="K3" s="20" t="s">
        <v>149</v>
      </c>
      <c r="L3" s="21" t="s">
        <v>150</v>
      </c>
      <c r="M3" s="21" t="s">
        <v>151</v>
      </c>
      <c r="N3" s="21" t="s">
        <v>152</v>
      </c>
      <c r="O3" s="20" t="s">
        <v>149</v>
      </c>
      <c r="P3" s="21" t="s">
        <v>150</v>
      </c>
      <c r="Q3" s="21" t="s">
        <v>151</v>
      </c>
      <c r="R3" s="21" t="s">
        <v>152</v>
      </c>
      <c r="S3" s="20" t="s">
        <v>149</v>
      </c>
      <c r="T3" s="21" t="s">
        <v>150</v>
      </c>
      <c r="U3" s="21" t="s">
        <v>151</v>
      </c>
      <c r="V3" s="21" t="s">
        <v>152</v>
      </c>
      <c r="W3" s="20" t="s">
        <v>149</v>
      </c>
      <c r="X3" s="21" t="s">
        <v>150</v>
      </c>
      <c r="Y3" s="21" t="s">
        <v>151</v>
      </c>
      <c r="Z3" s="43" t="s">
        <v>152</v>
      </c>
      <c r="AA3" s="20" t="s">
        <v>149</v>
      </c>
      <c r="AB3" s="21" t="s">
        <v>150</v>
      </c>
      <c r="AC3" s="21" t="s">
        <v>151</v>
      </c>
      <c r="AD3" s="43" t="s">
        <v>152</v>
      </c>
      <c r="AE3" s="21" t="s">
        <v>149</v>
      </c>
      <c r="AF3" s="21" t="s">
        <v>150</v>
      </c>
      <c r="AG3" s="21" t="s">
        <v>151</v>
      </c>
      <c r="AH3" s="21" t="s">
        <v>152</v>
      </c>
      <c r="AI3" s="20" t="s">
        <v>149</v>
      </c>
      <c r="AJ3" s="21" t="s">
        <v>150</v>
      </c>
      <c r="AK3" s="21" t="s">
        <v>151</v>
      </c>
      <c r="AL3" s="21" t="s">
        <v>152</v>
      </c>
      <c r="AM3" s="20" t="s">
        <v>149</v>
      </c>
      <c r="AN3" s="21" t="s">
        <v>150</v>
      </c>
      <c r="AO3" s="21" t="s">
        <v>151</v>
      </c>
      <c r="AP3" s="21" t="s">
        <v>152</v>
      </c>
      <c r="AQ3" s="20" t="s">
        <v>149</v>
      </c>
      <c r="AR3" s="21" t="s">
        <v>150</v>
      </c>
      <c r="AS3" s="21" t="s">
        <v>151</v>
      </c>
      <c r="AT3" s="21" t="s">
        <v>152</v>
      </c>
      <c r="AU3" s="20" t="s">
        <v>149</v>
      </c>
      <c r="AV3" s="21" t="s">
        <v>150</v>
      </c>
      <c r="AW3" s="21" t="s">
        <v>151</v>
      </c>
      <c r="AX3" s="348" t="s">
        <v>152</v>
      </c>
      <c r="AY3" s="349" t="s">
        <v>149</v>
      </c>
      <c r="AZ3" s="21" t="s">
        <v>150</v>
      </c>
      <c r="BA3" s="21" t="s">
        <v>151</v>
      </c>
      <c r="BB3" s="21" t="s">
        <v>152</v>
      </c>
      <c r="BC3" s="20" t="s">
        <v>149</v>
      </c>
      <c r="BD3" s="21" t="s">
        <v>150</v>
      </c>
      <c r="BE3" s="21" t="s">
        <v>151</v>
      </c>
      <c r="BF3" s="21" t="s">
        <v>152</v>
      </c>
    </row>
    <row r="4" spans="1:58" s="14" customFormat="1">
      <c r="A4" s="22" t="s">
        <v>154</v>
      </c>
      <c r="B4" s="22" t="s">
        <v>11</v>
      </c>
      <c r="C4" s="23"/>
      <c r="D4" s="24"/>
      <c r="E4" s="24"/>
      <c r="F4" s="24"/>
      <c r="G4" s="23"/>
      <c r="H4" s="24"/>
      <c r="I4" s="24"/>
      <c r="J4" s="25"/>
      <c r="K4" s="23"/>
      <c r="L4" s="24"/>
      <c r="M4" s="24"/>
      <c r="N4" s="25"/>
      <c r="O4" s="23"/>
      <c r="P4" s="24"/>
      <c r="Q4" s="24"/>
      <c r="R4" s="25"/>
      <c r="S4" s="23"/>
      <c r="T4" s="24"/>
      <c r="U4" s="24"/>
      <c r="V4" s="25"/>
      <c r="W4" s="23"/>
      <c r="X4" s="24"/>
      <c r="Y4" s="24"/>
      <c r="Z4" s="25"/>
      <c r="AA4" s="23"/>
      <c r="AB4" s="24"/>
      <c r="AC4" s="24"/>
      <c r="AD4" s="25"/>
      <c r="AE4" s="24"/>
      <c r="AF4" s="24"/>
      <c r="AG4" s="24"/>
      <c r="AH4" s="24"/>
      <c r="AI4" s="23"/>
      <c r="AJ4" s="24"/>
      <c r="AK4" s="24"/>
      <c r="AL4" s="24"/>
      <c r="AM4" s="23"/>
      <c r="AN4" s="24"/>
      <c r="AO4" s="24"/>
      <c r="AP4" s="24"/>
      <c r="AQ4" s="23"/>
      <c r="AR4" s="24"/>
      <c r="AS4" s="24"/>
      <c r="AT4" s="24"/>
      <c r="AU4" s="23"/>
      <c r="AV4" s="24"/>
      <c r="AW4" s="24"/>
      <c r="AX4" s="353"/>
      <c r="AY4" s="350"/>
      <c r="AZ4" s="172"/>
      <c r="BA4" s="172"/>
      <c r="BB4" s="172"/>
      <c r="BC4" s="23"/>
      <c r="BD4" s="24"/>
      <c r="BE4" s="24"/>
      <c r="BF4" s="24"/>
    </row>
    <row r="5" spans="1:58" s="506" customFormat="1">
      <c r="A5" s="421" t="s">
        <v>170</v>
      </c>
      <c r="B5" s="421" t="s">
        <v>35</v>
      </c>
      <c r="C5" s="435">
        <f>SUM(C6:C9)</f>
        <v>319.96553822512698</v>
      </c>
      <c r="D5" s="436">
        <f t="shared" ref="D5:AG5" si="0">SUM(D6:D9)</f>
        <v>309.36553822512701</v>
      </c>
      <c r="E5" s="436">
        <f t="shared" si="0"/>
        <v>320.56553822512706</v>
      </c>
      <c r="F5" s="436">
        <f t="shared" si="0"/>
        <v>280.66553822512702</v>
      </c>
      <c r="G5" s="435">
        <f t="shared" si="0"/>
        <v>297.4580087857276</v>
      </c>
      <c r="H5" s="436">
        <f t="shared" si="0"/>
        <v>352.35800878572758</v>
      </c>
      <c r="I5" s="436">
        <f t="shared" si="0"/>
        <v>342.85800878572752</v>
      </c>
      <c r="J5" s="437">
        <f t="shared" si="0"/>
        <v>269.45800878572749</v>
      </c>
      <c r="K5" s="435">
        <f t="shared" si="0"/>
        <v>298.38504180498364</v>
      </c>
      <c r="L5" s="436">
        <f t="shared" si="0"/>
        <v>353.98504180498361</v>
      </c>
      <c r="M5" s="436">
        <f t="shared" si="0"/>
        <v>341.1850418049836</v>
      </c>
      <c r="N5" s="437">
        <f t="shared" si="0"/>
        <v>306.88504180498364</v>
      </c>
      <c r="O5" s="435">
        <f t="shared" si="0"/>
        <v>308.76617079147798</v>
      </c>
      <c r="P5" s="436">
        <f t="shared" si="0"/>
        <v>361.06617079147793</v>
      </c>
      <c r="Q5" s="436">
        <f>SUM(Q6:Q9)</f>
        <v>370.56617079147799</v>
      </c>
      <c r="R5" s="437">
        <f t="shared" si="0"/>
        <v>386.66617079147795</v>
      </c>
      <c r="S5" s="435">
        <f t="shared" si="0"/>
        <v>389.24726417014944</v>
      </c>
      <c r="T5" s="436">
        <f t="shared" si="0"/>
        <v>401.5472641701495</v>
      </c>
      <c r="U5" s="436">
        <f t="shared" si="0"/>
        <v>376.34726417014946</v>
      </c>
      <c r="V5" s="437">
        <f t="shared" si="0"/>
        <v>377.64726417014953</v>
      </c>
      <c r="W5" s="435">
        <f t="shared" si="0"/>
        <v>427.72683986871607</v>
      </c>
      <c r="X5" s="436">
        <f t="shared" si="0"/>
        <v>422.02683986871602</v>
      </c>
      <c r="Y5" s="436">
        <f t="shared" si="0"/>
        <v>424.6268398687161</v>
      </c>
      <c r="Z5" s="437">
        <f t="shared" si="0"/>
        <v>406.32683986871609</v>
      </c>
      <c r="AA5" s="435">
        <f t="shared" si="0"/>
        <v>448.86927101575867</v>
      </c>
      <c r="AB5" s="436">
        <f t="shared" si="0"/>
        <v>420.95260226839201</v>
      </c>
      <c r="AC5" s="436">
        <f t="shared" si="0"/>
        <v>428.22809784460458</v>
      </c>
      <c r="AD5" s="437">
        <f t="shared" si="0"/>
        <v>455.15251444864481</v>
      </c>
      <c r="AE5" s="436">
        <f>SUM(AE6:AE9)</f>
        <v>485.19999999999993</v>
      </c>
      <c r="AF5" s="436">
        <f>SUM(AF6:AF9)</f>
        <v>496.79999999999995</v>
      </c>
      <c r="AG5" s="436">
        <f t="shared" si="0"/>
        <v>493.1</v>
      </c>
      <c r="AH5" s="436">
        <f>SUM(AH6:AH9)</f>
        <v>468.3</v>
      </c>
      <c r="AI5" s="435">
        <f>SUM(AI6:AI9)</f>
        <v>479.59999999999997</v>
      </c>
      <c r="AJ5" s="436">
        <f>SUM(AJ6:AJ9)</f>
        <v>569.6</v>
      </c>
      <c r="AK5" s="436">
        <f>SUM(AK6:AK9)</f>
        <v>530.6</v>
      </c>
      <c r="AL5" s="436">
        <f>SUM(AL6:AL9)</f>
        <v>508.5</v>
      </c>
      <c r="AM5" s="435">
        <f t="shared" ref="AM5:AY5" si="1">SUM(AM6:AM9)</f>
        <v>527.4</v>
      </c>
      <c r="AN5" s="436">
        <f t="shared" si="1"/>
        <v>715.5</v>
      </c>
      <c r="AO5" s="436">
        <f t="shared" si="1"/>
        <v>608</v>
      </c>
      <c r="AP5" s="436">
        <f t="shared" si="1"/>
        <v>621.19999999999993</v>
      </c>
      <c r="AQ5" s="435">
        <f t="shared" si="1"/>
        <v>635.5</v>
      </c>
      <c r="AR5" s="436">
        <f t="shared" si="1"/>
        <v>677</v>
      </c>
      <c r="AS5" s="436">
        <f t="shared" si="1"/>
        <v>678.90000000000009</v>
      </c>
      <c r="AT5" s="436">
        <f t="shared" si="1"/>
        <v>687.19999999999993</v>
      </c>
      <c r="AU5" s="435">
        <f t="shared" si="1"/>
        <v>725.59999999999991</v>
      </c>
      <c r="AV5" s="436">
        <f t="shared" si="1"/>
        <v>787.09999999999991</v>
      </c>
      <c r="AW5" s="436">
        <f t="shared" si="1"/>
        <v>740.30456785007209</v>
      </c>
      <c r="AX5" s="438">
        <f t="shared" si="1"/>
        <v>788.4</v>
      </c>
      <c r="AY5" s="439">
        <f t="shared" si="1"/>
        <v>656.2</v>
      </c>
      <c r="AZ5" s="436">
        <f t="shared" ref="AZ5:BC5" si="2">SUM(AZ6:AZ9)</f>
        <v>709.80000000000007</v>
      </c>
      <c r="BA5" s="436">
        <f t="shared" si="2"/>
        <v>719.50000000000011</v>
      </c>
      <c r="BB5" s="436">
        <f t="shared" si="2"/>
        <v>714.2</v>
      </c>
      <c r="BC5" s="435">
        <f t="shared" si="2"/>
        <v>741.59999999999991</v>
      </c>
      <c r="BD5" s="436">
        <f t="shared" ref="BD5:BF5" si="3">SUM(BD6:BD9)</f>
        <v>709.19999999999993</v>
      </c>
      <c r="BE5" s="436">
        <f t="shared" si="3"/>
        <v>745.8</v>
      </c>
      <c r="BF5" s="436">
        <f t="shared" si="3"/>
        <v>762.05881383126052</v>
      </c>
    </row>
    <row r="6" spans="1:58" s="512" customFormat="1">
      <c r="A6" s="508" t="s">
        <v>692</v>
      </c>
      <c r="B6" s="508" t="s">
        <v>696</v>
      </c>
      <c r="C6" s="425">
        <v>138</v>
      </c>
      <c r="D6" s="337">
        <v>144.30000000000001</v>
      </c>
      <c r="E6" s="337">
        <v>148.80000000000001</v>
      </c>
      <c r="F6" s="337">
        <v>153.80000000000001</v>
      </c>
      <c r="G6" s="425">
        <v>154.30000000000001</v>
      </c>
      <c r="H6" s="337">
        <v>146</v>
      </c>
      <c r="I6" s="337">
        <v>170.6</v>
      </c>
      <c r="J6" s="338">
        <v>112</v>
      </c>
      <c r="K6" s="425">
        <v>123</v>
      </c>
      <c r="L6" s="337">
        <v>213</v>
      </c>
      <c r="M6" s="337">
        <v>153.1</v>
      </c>
      <c r="N6" s="338">
        <v>153</v>
      </c>
      <c r="O6" s="425">
        <v>178</v>
      </c>
      <c r="P6" s="337">
        <v>202.2</v>
      </c>
      <c r="Q6" s="337">
        <v>199.1</v>
      </c>
      <c r="R6" s="338">
        <v>236.5</v>
      </c>
      <c r="S6" s="425">
        <v>238.3</v>
      </c>
      <c r="T6" s="337">
        <v>245.8</v>
      </c>
      <c r="U6" s="337">
        <v>233.9</v>
      </c>
      <c r="V6" s="338">
        <v>236.9</v>
      </c>
      <c r="W6" s="425">
        <v>254.7738238377311</v>
      </c>
      <c r="X6" s="337">
        <v>265.77382383773107</v>
      </c>
      <c r="Y6" s="337">
        <v>276.17382383773111</v>
      </c>
      <c r="Z6" s="338">
        <v>249.47382383773112</v>
      </c>
      <c r="AA6" s="425">
        <v>242.18036743499977</v>
      </c>
      <c r="AB6" s="337">
        <v>260.00901994993075</v>
      </c>
      <c r="AC6" s="337">
        <v>281.6279190694209</v>
      </c>
      <c r="AD6" s="338">
        <v>296.84214202947464</v>
      </c>
      <c r="AE6" s="337">
        <v>317.39999999999998</v>
      </c>
      <c r="AF6" s="337">
        <v>346.7</v>
      </c>
      <c r="AG6" s="337">
        <v>362.3</v>
      </c>
      <c r="AH6" s="337">
        <v>341.5</v>
      </c>
      <c r="AI6" s="425">
        <v>344.4</v>
      </c>
      <c r="AJ6" s="337">
        <v>373.2</v>
      </c>
      <c r="AK6" s="337">
        <v>404.8</v>
      </c>
      <c r="AL6" s="337">
        <f>394.1+0.4</f>
        <v>394.5</v>
      </c>
      <c r="AM6" s="425">
        <v>402.8</v>
      </c>
      <c r="AN6" s="337">
        <f>429.6+0.1</f>
        <v>429.70000000000005</v>
      </c>
      <c r="AO6" s="337">
        <f>506.9-0.1</f>
        <v>506.79999999999995</v>
      </c>
      <c r="AP6" s="337">
        <v>523.29999999999995</v>
      </c>
      <c r="AQ6" s="425">
        <v>508.2</v>
      </c>
      <c r="AR6" s="337">
        <v>516.70000000000005</v>
      </c>
      <c r="AS6" s="337">
        <v>543.80000000000007</v>
      </c>
      <c r="AT6" s="337">
        <v>564.6</v>
      </c>
      <c r="AU6" s="425">
        <v>562.79999999999995</v>
      </c>
      <c r="AV6" s="337">
        <v>587.29999999999995</v>
      </c>
      <c r="AW6" s="337">
        <v>612.9</v>
      </c>
      <c r="AX6" s="426">
        <v>623.4</v>
      </c>
      <c r="AY6" s="427">
        <v>541.70000000000005</v>
      </c>
      <c r="AZ6" s="337">
        <v>565.1</v>
      </c>
      <c r="BA6" s="337">
        <v>596.1</v>
      </c>
      <c r="BB6" s="337">
        <v>607</v>
      </c>
      <c r="BC6" s="425">
        <v>616.9</v>
      </c>
      <c r="BD6" s="337">
        <v>576.9</v>
      </c>
      <c r="BE6" s="337">
        <v>613.29999999999995</v>
      </c>
      <c r="BF6" s="337">
        <v>632.76903748959944</v>
      </c>
    </row>
    <row r="7" spans="1:58" s="506" customFormat="1">
      <c r="A7" s="508" t="s">
        <v>693</v>
      </c>
      <c r="B7" s="508" t="s">
        <v>697</v>
      </c>
      <c r="C7" s="425">
        <v>130.16553822512702</v>
      </c>
      <c r="D7" s="337">
        <v>136.56553822512703</v>
      </c>
      <c r="E7" s="337">
        <v>135.06553822512703</v>
      </c>
      <c r="F7" s="337">
        <v>124.46553822512702</v>
      </c>
      <c r="G7" s="425">
        <v>124.25800878572755</v>
      </c>
      <c r="H7" s="337">
        <v>146.15800878572756</v>
      </c>
      <c r="I7" s="337">
        <v>140.75800878572755</v>
      </c>
      <c r="J7" s="338">
        <v>189.35800878572755</v>
      </c>
      <c r="K7" s="425">
        <v>146.78504180498365</v>
      </c>
      <c r="L7" s="337">
        <v>149.58504180498363</v>
      </c>
      <c r="M7" s="337">
        <v>159.78504180498365</v>
      </c>
      <c r="N7" s="338">
        <v>88.385041804983658</v>
      </c>
      <c r="O7" s="425">
        <v>117.26617079147796</v>
      </c>
      <c r="P7" s="337">
        <v>159.16617079147795</v>
      </c>
      <c r="Q7" s="337">
        <v>160.86617079147797</v>
      </c>
      <c r="R7" s="338">
        <v>96.466170791477964</v>
      </c>
      <c r="S7" s="425">
        <v>130.84726417014949</v>
      </c>
      <c r="T7" s="337">
        <v>127.44726417014948</v>
      </c>
      <c r="U7" s="337">
        <v>122.34726417014949</v>
      </c>
      <c r="V7" s="338">
        <v>123.34726417014949</v>
      </c>
      <c r="W7" s="425">
        <v>117.17074753424698</v>
      </c>
      <c r="X7" s="337">
        <v>115.47074753424698</v>
      </c>
      <c r="Y7" s="337">
        <v>117.57074753424699</v>
      </c>
      <c r="Z7" s="338">
        <v>120.17074753424698</v>
      </c>
      <c r="AA7" s="425">
        <v>106.86733167592386</v>
      </c>
      <c r="AB7" s="337">
        <v>113.53324875046341</v>
      </c>
      <c r="AC7" s="337">
        <v>97.43429845405025</v>
      </c>
      <c r="AD7" s="338">
        <v>119.39543086788544</v>
      </c>
      <c r="AE7" s="337">
        <v>121.9</v>
      </c>
      <c r="AF7" s="337">
        <v>123.1</v>
      </c>
      <c r="AG7" s="337">
        <v>97.9</v>
      </c>
      <c r="AH7" s="337">
        <v>93.5</v>
      </c>
      <c r="AI7" s="425">
        <v>89.5</v>
      </c>
      <c r="AJ7" s="337">
        <v>94.8</v>
      </c>
      <c r="AK7" s="337">
        <v>91.8</v>
      </c>
      <c r="AL7" s="337">
        <f>87-0.1</f>
        <v>86.9</v>
      </c>
      <c r="AM7" s="425">
        <v>90.1</v>
      </c>
      <c r="AN7" s="337">
        <f>92.2-0.1</f>
        <v>92.100000000000009</v>
      </c>
      <c r="AO7" s="337">
        <f>98.4+0.1</f>
        <v>98.5</v>
      </c>
      <c r="AP7" s="337">
        <v>100</v>
      </c>
      <c r="AQ7" s="425">
        <v>104.7</v>
      </c>
      <c r="AR7" s="337">
        <v>111</v>
      </c>
      <c r="AS7" s="337">
        <v>108</v>
      </c>
      <c r="AT7" s="337">
        <v>103.19999999999999</v>
      </c>
      <c r="AU7" s="425">
        <v>120.89999999999999</v>
      </c>
      <c r="AV7" s="337">
        <v>162.9</v>
      </c>
      <c r="AW7" s="337">
        <v>106.70456785007201</v>
      </c>
      <c r="AX7" s="426">
        <v>123.8</v>
      </c>
      <c r="AY7" s="427">
        <v>91.1</v>
      </c>
      <c r="AZ7" s="337">
        <v>125</v>
      </c>
      <c r="BA7" s="337">
        <v>98.7</v>
      </c>
      <c r="BB7" s="337">
        <v>103.1</v>
      </c>
      <c r="BC7" s="425">
        <v>102.3</v>
      </c>
      <c r="BD7" s="337">
        <v>107.5</v>
      </c>
      <c r="BE7" s="337">
        <v>122.5</v>
      </c>
      <c r="BF7" s="337">
        <v>125</v>
      </c>
    </row>
    <row r="8" spans="1:58" s="506" customFormat="1">
      <c r="A8" s="411" t="s">
        <v>694</v>
      </c>
      <c r="B8" s="411" t="s">
        <v>698</v>
      </c>
      <c r="C8" s="425">
        <v>39.4</v>
      </c>
      <c r="D8" s="337">
        <v>17.600000000000001</v>
      </c>
      <c r="E8" s="337">
        <v>27.1</v>
      </c>
      <c r="F8" s="337">
        <v>-8.3000000000000007</v>
      </c>
      <c r="G8" s="425">
        <v>7.3</v>
      </c>
      <c r="H8" s="337">
        <v>46</v>
      </c>
      <c r="I8" s="337">
        <v>18.5</v>
      </c>
      <c r="J8" s="338">
        <v>-41.3</v>
      </c>
      <c r="K8" s="425">
        <v>18.5</v>
      </c>
      <c r="L8" s="337">
        <v>-24.1</v>
      </c>
      <c r="M8" s="337">
        <v>17.899999999999999</v>
      </c>
      <c r="N8" s="338">
        <v>49.4</v>
      </c>
      <c r="O8" s="425">
        <v>6.2</v>
      </c>
      <c r="P8" s="337">
        <v>-11.2</v>
      </c>
      <c r="Q8" s="337">
        <v>0</v>
      </c>
      <c r="R8" s="338">
        <v>41.3</v>
      </c>
      <c r="S8" s="425">
        <v>10.4</v>
      </c>
      <c r="T8" s="337">
        <f>15.1</f>
        <v>15.1</v>
      </c>
      <c r="U8" s="337">
        <v>11.9</v>
      </c>
      <c r="V8" s="338">
        <v>7.3</v>
      </c>
      <c r="W8" s="425">
        <v>48.98226849673798</v>
      </c>
      <c r="X8" s="337">
        <v>29.582268496737978</v>
      </c>
      <c r="Y8" s="337">
        <v>23.282268496737977</v>
      </c>
      <c r="Z8" s="338">
        <v>26.582268496737978</v>
      </c>
      <c r="AA8" s="425">
        <v>90.821571904835039</v>
      </c>
      <c r="AB8" s="337">
        <v>39.610333567997856</v>
      </c>
      <c r="AC8" s="337">
        <v>39.865880321133432</v>
      </c>
      <c r="AD8" s="338">
        <v>26.914941551284713</v>
      </c>
      <c r="AE8" s="337">
        <v>34.700000000000003</v>
      </c>
      <c r="AF8" s="337">
        <v>25.9</v>
      </c>
      <c r="AG8" s="337">
        <v>32.9</v>
      </c>
      <c r="AH8" s="337">
        <v>33.299999999999997</v>
      </c>
      <c r="AI8" s="425">
        <v>45.7</v>
      </c>
      <c r="AJ8" s="337">
        <v>101.6</v>
      </c>
      <c r="AK8" s="337">
        <v>34</v>
      </c>
      <c r="AL8" s="337">
        <f>27+0.1</f>
        <v>27.1</v>
      </c>
      <c r="AM8" s="425">
        <v>34.5</v>
      </c>
      <c r="AN8" s="337">
        <v>193.7</v>
      </c>
      <c r="AO8" s="337">
        <f>2.6+0.1</f>
        <v>2.7</v>
      </c>
      <c r="AP8" s="337">
        <v>-2.1</v>
      </c>
      <c r="AQ8" s="425">
        <v>22.6</v>
      </c>
      <c r="AR8" s="337">
        <v>49.3</v>
      </c>
      <c r="AS8" s="337">
        <v>27.1</v>
      </c>
      <c r="AT8" s="337">
        <v>19.400000000000002</v>
      </c>
      <c r="AU8" s="425">
        <v>41.9</v>
      </c>
      <c r="AV8" s="337">
        <v>36.9</v>
      </c>
      <c r="AW8" s="337">
        <v>20.7</v>
      </c>
      <c r="AX8" s="426">
        <v>41.2</v>
      </c>
      <c r="AY8" s="427">
        <v>23.4</v>
      </c>
      <c r="AZ8" s="337">
        <v>19.7</v>
      </c>
      <c r="BA8" s="337">
        <v>21.6</v>
      </c>
      <c r="BB8" s="337">
        <v>-0.3</v>
      </c>
      <c r="BC8" s="425">
        <v>18</v>
      </c>
      <c r="BD8" s="337">
        <v>20.8</v>
      </c>
      <c r="BE8" s="337">
        <v>6.3</v>
      </c>
      <c r="BF8" s="337">
        <v>0.28977634166107435</v>
      </c>
    </row>
    <row r="9" spans="1:58" s="512" customFormat="1" ht="22.5">
      <c r="A9" s="508" t="s">
        <v>695</v>
      </c>
      <c r="B9" s="508" t="s">
        <v>699</v>
      </c>
      <c r="C9" s="425">
        <v>12.4</v>
      </c>
      <c r="D9" s="337">
        <v>10.9</v>
      </c>
      <c r="E9" s="337">
        <v>9.6</v>
      </c>
      <c r="F9" s="337">
        <v>10.7</v>
      </c>
      <c r="G9" s="425">
        <v>11.6</v>
      </c>
      <c r="H9" s="337">
        <v>14.2</v>
      </c>
      <c r="I9" s="337">
        <v>13</v>
      </c>
      <c r="J9" s="338">
        <v>9.4</v>
      </c>
      <c r="K9" s="425">
        <v>10.1</v>
      </c>
      <c r="L9" s="337">
        <v>15.5</v>
      </c>
      <c r="M9" s="337">
        <v>10.4</v>
      </c>
      <c r="N9" s="338">
        <v>16.100000000000001</v>
      </c>
      <c r="O9" s="425">
        <v>7.3</v>
      </c>
      <c r="P9" s="337">
        <v>10.9</v>
      </c>
      <c r="Q9" s="337">
        <v>10.6</v>
      </c>
      <c r="R9" s="338">
        <v>12.4</v>
      </c>
      <c r="S9" s="425">
        <v>9.6999999999999993</v>
      </c>
      <c r="T9" s="337">
        <v>13.2</v>
      </c>
      <c r="U9" s="337">
        <v>8.1999999999999993</v>
      </c>
      <c r="V9" s="338">
        <v>10.1</v>
      </c>
      <c r="W9" s="425">
        <v>6.8</v>
      </c>
      <c r="X9" s="337">
        <v>11.2</v>
      </c>
      <c r="Y9" s="337">
        <v>7.6</v>
      </c>
      <c r="Z9" s="338">
        <v>10.1</v>
      </c>
      <c r="AA9" s="425">
        <v>9</v>
      </c>
      <c r="AB9" s="337">
        <v>7.8000000000000007</v>
      </c>
      <c r="AC9" s="337">
        <v>9.3000000000000007</v>
      </c>
      <c r="AD9" s="338">
        <v>12</v>
      </c>
      <c r="AE9" s="337">
        <v>11.2</v>
      </c>
      <c r="AF9" s="337">
        <v>1.1000000000000001</v>
      </c>
      <c r="AG9" s="337">
        <v>0</v>
      </c>
      <c r="AH9" s="337">
        <v>0</v>
      </c>
      <c r="AI9" s="425">
        <v>0</v>
      </c>
      <c r="AJ9" s="337">
        <v>0</v>
      </c>
      <c r="AK9" s="337">
        <v>0</v>
      </c>
      <c r="AL9" s="337">
        <v>0</v>
      </c>
      <c r="AM9" s="425">
        <v>0</v>
      </c>
      <c r="AN9" s="337">
        <v>0</v>
      </c>
      <c r="AO9" s="337">
        <v>0</v>
      </c>
      <c r="AP9" s="337">
        <v>0</v>
      </c>
      <c r="AQ9" s="425">
        <v>0</v>
      </c>
      <c r="AR9" s="337">
        <v>0</v>
      </c>
      <c r="AS9" s="337">
        <v>0</v>
      </c>
      <c r="AT9" s="337">
        <v>0</v>
      </c>
      <c r="AU9" s="425">
        <v>0</v>
      </c>
      <c r="AV9" s="337">
        <v>0</v>
      </c>
      <c r="AW9" s="337">
        <v>0</v>
      </c>
      <c r="AX9" s="426">
        <v>0</v>
      </c>
      <c r="AY9" s="427">
        <v>0</v>
      </c>
      <c r="AZ9" s="337">
        <v>0</v>
      </c>
      <c r="BA9" s="337">
        <v>3.1</v>
      </c>
      <c r="BB9" s="337">
        <v>4.4000000000000004</v>
      </c>
      <c r="BC9" s="425">
        <v>4.4000000000000004</v>
      </c>
      <c r="BD9" s="337">
        <v>4</v>
      </c>
      <c r="BE9" s="337">
        <v>3.7</v>
      </c>
      <c r="BF9" s="337">
        <v>4</v>
      </c>
    </row>
    <row r="10" spans="1:58" s="511" customFormat="1">
      <c r="A10" s="525" t="s">
        <v>172</v>
      </c>
      <c r="B10" s="525" t="s">
        <v>36</v>
      </c>
      <c r="C10" s="435">
        <f>SUM(C11:C13)</f>
        <v>213.26553822512702</v>
      </c>
      <c r="D10" s="436">
        <f t="shared" ref="D10:AG10" si="4">SUM(D11:D13)</f>
        <v>218.66553822512702</v>
      </c>
      <c r="E10" s="436">
        <f t="shared" si="4"/>
        <v>226.36553822512704</v>
      </c>
      <c r="F10" s="436">
        <f t="shared" si="4"/>
        <v>224.76553822512699</v>
      </c>
      <c r="G10" s="435">
        <f t="shared" si="4"/>
        <v>234.35800878572752</v>
      </c>
      <c r="H10" s="436">
        <f t="shared" si="4"/>
        <v>251.55800878572754</v>
      </c>
      <c r="I10" s="436">
        <f t="shared" si="4"/>
        <v>250.45800878572754</v>
      </c>
      <c r="J10" s="437">
        <f t="shared" si="4"/>
        <v>228.55800878572757</v>
      </c>
      <c r="K10" s="435">
        <f t="shared" si="4"/>
        <v>230.28504180498365</v>
      </c>
      <c r="L10" s="436">
        <f t="shared" si="4"/>
        <v>249.18504180498365</v>
      </c>
      <c r="M10" s="436">
        <f t="shared" si="4"/>
        <v>253.38504180498364</v>
      </c>
      <c r="N10" s="437">
        <f t="shared" si="4"/>
        <v>234.18504180498365</v>
      </c>
      <c r="O10" s="435">
        <f t="shared" si="4"/>
        <v>249.46617079147796</v>
      </c>
      <c r="P10" s="436">
        <f t="shared" si="4"/>
        <v>257.76617079147798</v>
      </c>
      <c r="Q10" s="436">
        <f t="shared" si="4"/>
        <v>264.86617079147794</v>
      </c>
      <c r="R10" s="437">
        <f t="shared" si="4"/>
        <v>252.96617079147796</v>
      </c>
      <c r="S10" s="435">
        <f t="shared" si="4"/>
        <v>254.5472641701495</v>
      </c>
      <c r="T10" s="436">
        <f t="shared" si="4"/>
        <v>255.24726417014949</v>
      </c>
      <c r="U10" s="436">
        <f t="shared" si="4"/>
        <v>263.24726417014949</v>
      </c>
      <c r="V10" s="437">
        <f t="shared" si="4"/>
        <v>249.04726417014948</v>
      </c>
      <c r="W10" s="435">
        <f t="shared" si="4"/>
        <v>287.20057495025867</v>
      </c>
      <c r="X10" s="436">
        <f t="shared" si="4"/>
        <v>284.50433315224205</v>
      </c>
      <c r="Y10" s="436">
        <f t="shared" si="4"/>
        <v>280.39991929238749</v>
      </c>
      <c r="Z10" s="437">
        <f t="shared" si="4"/>
        <v>272.71305450035339</v>
      </c>
      <c r="AA10" s="435">
        <f t="shared" si="4"/>
        <v>301.80990405597663</v>
      </c>
      <c r="AB10" s="436">
        <f t="shared" si="4"/>
        <v>296.8309803969903</v>
      </c>
      <c r="AC10" s="436">
        <f t="shared" si="4"/>
        <v>281.60444066154071</v>
      </c>
      <c r="AD10" s="437">
        <f t="shared" si="4"/>
        <v>274.00822340107061</v>
      </c>
      <c r="AE10" s="436">
        <f>SUM(AE11:AE13)</f>
        <v>284.2</v>
      </c>
      <c r="AF10" s="436">
        <f>SUM(AF11:AF13)</f>
        <v>289.1539052279694</v>
      </c>
      <c r="AG10" s="436">
        <f t="shared" si="4"/>
        <v>286.5</v>
      </c>
      <c r="AH10" s="436">
        <f>SUM(AH11:AH13)</f>
        <v>292.3</v>
      </c>
      <c r="AI10" s="435">
        <f>SUM(AI11:AI13)</f>
        <v>311.60000000000002</v>
      </c>
      <c r="AJ10" s="436">
        <f>SUM(AJ11:AJ13)</f>
        <v>303.20000000000005</v>
      </c>
      <c r="AK10" s="436">
        <f>SUM(AK11:AK13)</f>
        <v>312.60000000000002</v>
      </c>
      <c r="AL10" s="436">
        <f>SUM(AL11:AL13)</f>
        <v>390</v>
      </c>
      <c r="AM10" s="435">
        <f t="shared" ref="AM10:AY10" si="5">SUM(AM11:AM13)</f>
        <v>304.5</v>
      </c>
      <c r="AN10" s="436">
        <f t="shared" si="5"/>
        <v>302</v>
      </c>
      <c r="AO10" s="436">
        <f t="shared" si="5"/>
        <v>317.39999999999998</v>
      </c>
      <c r="AP10" s="436">
        <f t="shared" si="5"/>
        <v>311.7</v>
      </c>
      <c r="AQ10" s="435">
        <f t="shared" si="5"/>
        <v>345.59999999999997</v>
      </c>
      <c r="AR10" s="436">
        <f t="shared" si="5"/>
        <v>307.2</v>
      </c>
      <c r="AS10" s="436">
        <f t="shared" si="5"/>
        <v>317.5</v>
      </c>
      <c r="AT10" s="436">
        <f t="shared" si="5"/>
        <v>302.39999999999998</v>
      </c>
      <c r="AU10" s="435">
        <f t="shared" si="5"/>
        <v>372.6</v>
      </c>
      <c r="AV10" s="436">
        <f t="shared" si="5"/>
        <v>331.20000000000005</v>
      </c>
      <c r="AW10" s="436">
        <f t="shared" si="5"/>
        <v>343.9</v>
      </c>
      <c r="AX10" s="438">
        <f t="shared" si="5"/>
        <v>337.5</v>
      </c>
      <c r="AY10" s="439">
        <f t="shared" si="5"/>
        <v>378.68825587760625</v>
      </c>
      <c r="AZ10" s="436">
        <f t="shared" ref="AZ10:BC10" si="6">SUM(AZ11:AZ13)</f>
        <v>306.28667195757231</v>
      </c>
      <c r="BA10" s="436">
        <f t="shared" si="6"/>
        <v>339.94531914187559</v>
      </c>
      <c r="BB10" s="436">
        <f t="shared" si="6"/>
        <v>299.02565673536537</v>
      </c>
      <c r="BC10" s="435">
        <f t="shared" si="6"/>
        <v>384.20000000000005</v>
      </c>
      <c r="BD10" s="436">
        <f t="shared" ref="BD10:BF10" si="7">SUM(BD11:BD13)</f>
        <v>351.94490076999989</v>
      </c>
      <c r="BE10" s="436">
        <f t="shared" si="7"/>
        <v>356.6</v>
      </c>
      <c r="BF10" s="436">
        <f t="shared" si="7"/>
        <v>346.87672462596004</v>
      </c>
    </row>
    <row r="11" spans="1:58" s="511" customFormat="1">
      <c r="A11" s="412" t="s">
        <v>318</v>
      </c>
      <c r="B11" s="412" t="s">
        <v>684</v>
      </c>
      <c r="C11" s="425">
        <v>98.3</v>
      </c>
      <c r="D11" s="337">
        <v>106.9</v>
      </c>
      <c r="E11" s="337">
        <v>110.9</v>
      </c>
      <c r="F11" s="337">
        <v>123.5</v>
      </c>
      <c r="G11" s="425">
        <v>111.2</v>
      </c>
      <c r="H11" s="337">
        <v>112.5</v>
      </c>
      <c r="I11" s="337">
        <v>129</v>
      </c>
      <c r="J11" s="338">
        <v>122.2</v>
      </c>
      <c r="K11" s="425">
        <v>98.4</v>
      </c>
      <c r="L11" s="337">
        <v>108.8</v>
      </c>
      <c r="M11" s="337">
        <v>110.5</v>
      </c>
      <c r="N11" s="338">
        <v>121.1</v>
      </c>
      <c r="O11" s="425">
        <v>109.7</v>
      </c>
      <c r="P11" s="337">
        <v>113.8</v>
      </c>
      <c r="Q11" s="337">
        <v>123.4</v>
      </c>
      <c r="R11" s="338">
        <v>151.19999999999999</v>
      </c>
      <c r="S11" s="425">
        <v>121</v>
      </c>
      <c r="T11" s="337">
        <v>117.2</v>
      </c>
      <c r="U11" s="337">
        <v>122</v>
      </c>
      <c r="V11" s="338">
        <v>124.7</v>
      </c>
      <c r="W11" s="425">
        <v>129.62811836869614</v>
      </c>
      <c r="X11" s="337">
        <v>127.32975084192324</v>
      </c>
      <c r="Y11" s="337">
        <v>125.97127117940272</v>
      </c>
      <c r="Z11" s="338">
        <v>132.37697680018391</v>
      </c>
      <c r="AA11" s="425">
        <v>128.8682319273081</v>
      </c>
      <c r="AB11" s="337">
        <v>129.30981485673789</v>
      </c>
      <c r="AC11" s="337">
        <v>130.91396921036718</v>
      </c>
      <c r="AD11" s="338">
        <v>154.61098480098664</v>
      </c>
      <c r="AE11" s="337">
        <v>131.6</v>
      </c>
      <c r="AF11" s="337">
        <v>138.4</v>
      </c>
      <c r="AG11" s="337">
        <v>132.69999999999999</v>
      </c>
      <c r="AH11" s="337">
        <v>139.80000000000001</v>
      </c>
      <c r="AI11" s="425">
        <v>135.30000000000001</v>
      </c>
      <c r="AJ11" s="337">
        <v>135.1</v>
      </c>
      <c r="AK11" s="337">
        <v>138.1</v>
      </c>
      <c r="AL11" s="337">
        <v>146.30000000000001</v>
      </c>
      <c r="AM11" s="425">
        <v>144</v>
      </c>
      <c r="AN11" s="337">
        <v>144.80000000000001</v>
      </c>
      <c r="AO11" s="337">
        <v>151.5</v>
      </c>
      <c r="AP11" s="337">
        <v>158.80000000000001</v>
      </c>
      <c r="AQ11" s="425">
        <v>144.6</v>
      </c>
      <c r="AR11" s="337">
        <v>153.1</v>
      </c>
      <c r="AS11" s="337">
        <v>153.30000000000001</v>
      </c>
      <c r="AT11" s="337">
        <v>156.1</v>
      </c>
      <c r="AU11" s="425">
        <v>162.4</v>
      </c>
      <c r="AV11" s="337">
        <v>168.3</v>
      </c>
      <c r="AW11" s="337">
        <v>167.7</v>
      </c>
      <c r="AX11" s="426">
        <v>160.6</v>
      </c>
      <c r="AY11" s="427">
        <v>146.41390463649526</v>
      </c>
      <c r="AZ11" s="337">
        <v>148.52111915233388</v>
      </c>
      <c r="BA11" s="337">
        <v>163.7962765038364</v>
      </c>
      <c r="BB11" s="337">
        <v>157.72366859689498</v>
      </c>
      <c r="BC11" s="425">
        <v>154.5</v>
      </c>
      <c r="BD11" s="337">
        <v>154.80211126624576</v>
      </c>
      <c r="BE11" s="337">
        <v>164.5</v>
      </c>
      <c r="BF11" s="337">
        <v>176.98948767250897</v>
      </c>
    </row>
    <row r="12" spans="1:58" s="506" customFormat="1">
      <c r="A12" s="508" t="s">
        <v>319</v>
      </c>
      <c r="B12" s="508" t="s">
        <v>685</v>
      </c>
      <c r="C12" s="425">
        <v>22</v>
      </c>
      <c r="D12" s="337">
        <v>23</v>
      </c>
      <c r="E12" s="337">
        <v>22.3</v>
      </c>
      <c r="F12" s="337">
        <v>31.2</v>
      </c>
      <c r="G12" s="425">
        <v>25</v>
      </c>
      <c r="H12" s="337">
        <v>25.6</v>
      </c>
      <c r="I12" s="337">
        <v>24.8</v>
      </c>
      <c r="J12" s="338">
        <v>24.1</v>
      </c>
      <c r="K12" s="425">
        <v>23.3</v>
      </c>
      <c r="L12" s="337">
        <v>24.3</v>
      </c>
      <c r="M12" s="337">
        <v>23.4</v>
      </c>
      <c r="N12" s="338">
        <v>23.5</v>
      </c>
      <c r="O12" s="425">
        <v>21.6</v>
      </c>
      <c r="P12" s="337">
        <v>22</v>
      </c>
      <c r="Q12" s="337">
        <v>22.2</v>
      </c>
      <c r="R12" s="338">
        <v>23.8</v>
      </c>
      <c r="S12" s="425">
        <v>21.8</v>
      </c>
      <c r="T12" s="337">
        <v>22.1</v>
      </c>
      <c r="U12" s="337">
        <v>24.5</v>
      </c>
      <c r="V12" s="338">
        <v>25</v>
      </c>
      <c r="W12" s="425">
        <v>24.201827824460509</v>
      </c>
      <c r="X12" s="337">
        <v>25.002182820688386</v>
      </c>
      <c r="Y12" s="337">
        <v>25.511211797666959</v>
      </c>
      <c r="Z12" s="338">
        <v>30.512452537068643</v>
      </c>
      <c r="AA12" s="425">
        <v>28.837033547040939</v>
      </c>
      <c r="AB12" s="337">
        <v>28.789704505606281</v>
      </c>
      <c r="AC12" s="337">
        <v>27.620026792403394</v>
      </c>
      <c r="AD12" s="338">
        <v>31.538412793044863</v>
      </c>
      <c r="AE12" s="337">
        <v>26.3</v>
      </c>
      <c r="AF12" s="337">
        <v>26.753905227969401</v>
      </c>
      <c r="AG12" s="337">
        <v>27.1</v>
      </c>
      <c r="AH12" s="337">
        <v>42.1</v>
      </c>
      <c r="AI12" s="425">
        <v>29.4</v>
      </c>
      <c r="AJ12" s="337">
        <v>32.700000000000003</v>
      </c>
      <c r="AK12" s="337">
        <v>32.200000000000003</v>
      </c>
      <c r="AL12" s="337">
        <v>46.5</v>
      </c>
      <c r="AM12" s="425">
        <v>32.5</v>
      </c>
      <c r="AN12" s="337">
        <v>34.799999999999997</v>
      </c>
      <c r="AO12" s="337">
        <v>36</v>
      </c>
      <c r="AP12" s="337">
        <v>52.6</v>
      </c>
      <c r="AQ12" s="425">
        <v>35.299999999999997</v>
      </c>
      <c r="AR12" s="337">
        <v>35.6</v>
      </c>
      <c r="AS12" s="337">
        <v>34.9</v>
      </c>
      <c r="AT12" s="337">
        <v>36.5</v>
      </c>
      <c r="AU12" s="425">
        <v>36.9</v>
      </c>
      <c r="AV12" s="337">
        <v>31.3</v>
      </c>
      <c r="AW12" s="337">
        <v>34.5</v>
      </c>
      <c r="AX12" s="426">
        <v>38.6</v>
      </c>
      <c r="AY12" s="427">
        <v>48.787365257793901</v>
      </c>
      <c r="AZ12" s="337">
        <v>44.7566034784656</v>
      </c>
      <c r="BA12" s="337">
        <v>45.468024622561018</v>
      </c>
      <c r="BB12" s="337">
        <v>45.428364313511793</v>
      </c>
      <c r="BC12" s="425">
        <v>48.3</v>
      </c>
      <c r="BD12" s="337">
        <v>47.928788159602128</v>
      </c>
      <c r="BE12" s="337">
        <v>45.2</v>
      </c>
      <c r="BF12" s="337">
        <v>49.538112200061505</v>
      </c>
    </row>
    <row r="13" spans="1:58" s="511" customFormat="1">
      <c r="A13" s="508" t="s">
        <v>320</v>
      </c>
      <c r="B13" s="508" t="s">
        <v>686</v>
      </c>
      <c r="C13" s="425">
        <v>92.96553822512702</v>
      </c>
      <c r="D13" s="337">
        <v>88.765538225127017</v>
      </c>
      <c r="E13" s="337">
        <v>93.165538225127023</v>
      </c>
      <c r="F13" s="337">
        <v>70.065538225127014</v>
      </c>
      <c r="G13" s="425">
        <v>98.158008785727546</v>
      </c>
      <c r="H13" s="337">
        <v>113.45800878572754</v>
      </c>
      <c r="I13" s="337">
        <v>96.658008785727546</v>
      </c>
      <c r="J13" s="338">
        <v>82.258008785727554</v>
      </c>
      <c r="K13" s="425">
        <v>108.58504180498365</v>
      </c>
      <c r="L13" s="337">
        <v>116.08504180498365</v>
      </c>
      <c r="M13" s="337">
        <v>119.48504180498365</v>
      </c>
      <c r="N13" s="338">
        <v>89.585041804983646</v>
      </c>
      <c r="O13" s="425">
        <v>118.16617079147795</v>
      </c>
      <c r="P13" s="337">
        <v>121.96617079147796</v>
      </c>
      <c r="Q13" s="337">
        <v>119.26617079147796</v>
      </c>
      <c r="R13" s="338">
        <v>77.966170791477964</v>
      </c>
      <c r="S13" s="425">
        <v>111.74726417014949</v>
      </c>
      <c r="T13" s="337">
        <v>115.94726417014948</v>
      </c>
      <c r="U13" s="337">
        <v>116.74726417014948</v>
      </c>
      <c r="V13" s="338">
        <v>99.347264170149487</v>
      </c>
      <c r="W13" s="425">
        <v>133.370628757102</v>
      </c>
      <c r="X13" s="337">
        <v>132.17239948963044</v>
      </c>
      <c r="Y13" s="337">
        <v>128.91743631531781</v>
      </c>
      <c r="Z13" s="338">
        <v>109.82362516310086</v>
      </c>
      <c r="AA13" s="425">
        <v>144.10463858162757</v>
      </c>
      <c r="AB13" s="337">
        <v>138.73146103464614</v>
      </c>
      <c r="AC13" s="337">
        <v>123.07044465877014</v>
      </c>
      <c r="AD13" s="338">
        <v>87.858825807039068</v>
      </c>
      <c r="AE13" s="337">
        <v>126.3</v>
      </c>
      <c r="AF13" s="337">
        <v>124</v>
      </c>
      <c r="AG13" s="337">
        <v>126.7</v>
      </c>
      <c r="AH13" s="337">
        <v>110.4</v>
      </c>
      <c r="AI13" s="425">
        <v>146.9</v>
      </c>
      <c r="AJ13" s="337">
        <v>135.4</v>
      </c>
      <c r="AK13" s="337">
        <v>142.30000000000001</v>
      </c>
      <c r="AL13" s="337">
        <v>197.2</v>
      </c>
      <c r="AM13" s="425">
        <v>128</v>
      </c>
      <c r="AN13" s="337">
        <v>122.4</v>
      </c>
      <c r="AO13" s="337">
        <v>129.9</v>
      </c>
      <c r="AP13" s="337">
        <v>100.3</v>
      </c>
      <c r="AQ13" s="425">
        <v>165.7</v>
      </c>
      <c r="AR13" s="337">
        <v>118.5</v>
      </c>
      <c r="AS13" s="337">
        <v>129.30000000000001</v>
      </c>
      <c r="AT13" s="337">
        <v>109.8</v>
      </c>
      <c r="AU13" s="425">
        <v>173.3</v>
      </c>
      <c r="AV13" s="337">
        <v>131.6</v>
      </c>
      <c r="AW13" s="337">
        <v>141.69999999999999</v>
      </c>
      <c r="AX13" s="426">
        <v>138.30000000000001</v>
      </c>
      <c r="AY13" s="427">
        <v>183.48698598331708</v>
      </c>
      <c r="AZ13" s="337">
        <v>113.00894932677284</v>
      </c>
      <c r="BA13" s="337">
        <v>130.68101801547817</v>
      </c>
      <c r="BB13" s="337">
        <v>95.873623824958599</v>
      </c>
      <c r="BC13" s="425">
        <v>181.4</v>
      </c>
      <c r="BD13" s="337">
        <v>149.214001344152</v>
      </c>
      <c r="BE13" s="337">
        <v>146.9</v>
      </c>
      <c r="BF13" s="337">
        <v>120.34912475338956</v>
      </c>
    </row>
    <row r="14" spans="1:58" s="511" customFormat="1">
      <c r="A14" s="509" t="s">
        <v>315</v>
      </c>
      <c r="B14" s="509" t="s">
        <v>339</v>
      </c>
      <c r="C14" s="435">
        <f>C5-C10</f>
        <v>106.69999999999996</v>
      </c>
      <c r="D14" s="436">
        <f t="shared" ref="D14:AG14" si="8">D5-D10</f>
        <v>90.699999999999989</v>
      </c>
      <c r="E14" s="436">
        <f t="shared" si="8"/>
        <v>94.200000000000017</v>
      </c>
      <c r="F14" s="436">
        <f t="shared" si="8"/>
        <v>55.900000000000034</v>
      </c>
      <c r="G14" s="435">
        <f t="shared" si="8"/>
        <v>63.10000000000008</v>
      </c>
      <c r="H14" s="436">
        <f t="shared" si="8"/>
        <v>100.80000000000004</v>
      </c>
      <c r="I14" s="436">
        <f t="shared" si="8"/>
        <v>92.399999999999977</v>
      </c>
      <c r="J14" s="437">
        <f t="shared" si="8"/>
        <v>40.89999999999992</v>
      </c>
      <c r="K14" s="435">
        <f t="shared" si="8"/>
        <v>68.099999999999994</v>
      </c>
      <c r="L14" s="436">
        <f t="shared" si="8"/>
        <v>104.79999999999995</v>
      </c>
      <c r="M14" s="436">
        <f t="shared" si="8"/>
        <v>87.799999999999955</v>
      </c>
      <c r="N14" s="437">
        <f t="shared" si="8"/>
        <v>72.699999999999989</v>
      </c>
      <c r="O14" s="435">
        <f t="shared" si="8"/>
        <v>59.300000000000011</v>
      </c>
      <c r="P14" s="436">
        <f t="shared" si="8"/>
        <v>103.29999999999995</v>
      </c>
      <c r="Q14" s="436">
        <f t="shared" si="8"/>
        <v>105.70000000000005</v>
      </c>
      <c r="R14" s="437">
        <f t="shared" si="8"/>
        <v>133.69999999999999</v>
      </c>
      <c r="S14" s="435">
        <f t="shared" si="8"/>
        <v>134.69999999999993</v>
      </c>
      <c r="T14" s="436">
        <f t="shared" si="8"/>
        <v>146.30000000000001</v>
      </c>
      <c r="U14" s="436">
        <f t="shared" si="8"/>
        <v>113.09999999999997</v>
      </c>
      <c r="V14" s="437">
        <f t="shared" si="8"/>
        <v>128.60000000000005</v>
      </c>
      <c r="W14" s="435">
        <f t="shared" si="8"/>
        <v>140.5262649184574</v>
      </c>
      <c r="X14" s="436">
        <f t="shared" si="8"/>
        <v>137.52250671647397</v>
      </c>
      <c r="Y14" s="436">
        <f t="shared" si="8"/>
        <v>144.22692057632861</v>
      </c>
      <c r="Z14" s="437">
        <f t="shared" si="8"/>
        <v>133.6137853683627</v>
      </c>
      <c r="AA14" s="435">
        <f t="shared" si="8"/>
        <v>147.05936695978204</v>
      </c>
      <c r="AB14" s="436">
        <f t="shared" si="8"/>
        <v>124.12162187140171</v>
      </c>
      <c r="AC14" s="436">
        <f t="shared" si="8"/>
        <v>146.62365718306387</v>
      </c>
      <c r="AD14" s="437">
        <f t="shared" si="8"/>
        <v>181.1442910475742</v>
      </c>
      <c r="AE14" s="436">
        <f>AE5-AE10</f>
        <v>200.99999999999994</v>
      </c>
      <c r="AF14" s="436">
        <f>AF5-AF10</f>
        <v>207.64609477203055</v>
      </c>
      <c r="AG14" s="436">
        <f t="shared" si="8"/>
        <v>206.60000000000002</v>
      </c>
      <c r="AH14" s="436">
        <f>AH5-AH10</f>
        <v>176</v>
      </c>
      <c r="AI14" s="435">
        <f>AI5-AI10</f>
        <v>167.99999999999994</v>
      </c>
      <c r="AJ14" s="436">
        <f>AJ5-AJ10</f>
        <v>266.39999999999998</v>
      </c>
      <c r="AK14" s="436">
        <f>AK5-AK10</f>
        <v>218</v>
      </c>
      <c r="AL14" s="436">
        <f>AL5-AL10</f>
        <v>118.5</v>
      </c>
      <c r="AM14" s="435">
        <f t="shared" ref="AM14:AO14" si="9">AM5-AM10</f>
        <v>222.89999999999998</v>
      </c>
      <c r="AN14" s="436">
        <f t="shared" si="9"/>
        <v>413.5</v>
      </c>
      <c r="AO14" s="436">
        <f t="shared" si="9"/>
        <v>290.60000000000002</v>
      </c>
      <c r="AP14" s="436">
        <f t="shared" ref="AP14:AY14" si="10">AP5-AP10</f>
        <v>309.49999999999994</v>
      </c>
      <c r="AQ14" s="435">
        <f t="shared" si="10"/>
        <v>289.90000000000003</v>
      </c>
      <c r="AR14" s="436">
        <f t="shared" si="10"/>
        <v>369.8</v>
      </c>
      <c r="AS14" s="436">
        <f t="shared" si="10"/>
        <v>361.40000000000009</v>
      </c>
      <c r="AT14" s="436">
        <f t="shared" si="10"/>
        <v>384.79999999999995</v>
      </c>
      <c r="AU14" s="435">
        <f t="shared" si="10"/>
        <v>352.99999999999989</v>
      </c>
      <c r="AV14" s="436">
        <f t="shared" si="10"/>
        <v>455.89999999999986</v>
      </c>
      <c r="AW14" s="436">
        <f t="shared" si="10"/>
        <v>396.40456785007211</v>
      </c>
      <c r="AX14" s="438">
        <f t="shared" si="10"/>
        <v>450.9</v>
      </c>
      <c r="AY14" s="439">
        <f t="shared" si="10"/>
        <v>277.51174412239379</v>
      </c>
      <c r="AZ14" s="436">
        <f t="shared" ref="AZ14:BC14" si="11">AZ5-AZ10</f>
        <v>403.51332804242776</v>
      </c>
      <c r="BA14" s="436">
        <f t="shared" si="11"/>
        <v>379.55468085812453</v>
      </c>
      <c r="BB14" s="436">
        <f t="shared" si="11"/>
        <v>415.17434326463467</v>
      </c>
      <c r="BC14" s="435">
        <f t="shared" si="11"/>
        <v>357.39999999999986</v>
      </c>
      <c r="BD14" s="436">
        <f t="shared" ref="BD14:BF14" si="12">BD5-BD10</f>
        <v>357.25509923000004</v>
      </c>
      <c r="BE14" s="436">
        <f t="shared" si="12"/>
        <v>389.19999999999993</v>
      </c>
      <c r="BF14" s="436">
        <f t="shared" si="12"/>
        <v>415.18208920530049</v>
      </c>
    </row>
    <row r="15" spans="1:58" s="511" customFormat="1" ht="22.5">
      <c r="A15" s="412" t="s">
        <v>941</v>
      </c>
      <c r="B15" s="412" t="s">
        <v>943</v>
      </c>
      <c r="C15" s="425">
        <v>-2.4</v>
      </c>
      <c r="D15" s="337">
        <v>-10.4</v>
      </c>
      <c r="E15" s="337">
        <v>-25</v>
      </c>
      <c r="F15" s="337">
        <v>-2.2000000000000002</v>
      </c>
      <c r="G15" s="425">
        <v>-2.6</v>
      </c>
      <c r="H15" s="337">
        <v>6</v>
      </c>
      <c r="I15" s="337">
        <v>4.9000000000000004</v>
      </c>
      <c r="J15" s="338">
        <v>20.100000000000001</v>
      </c>
      <c r="K15" s="425">
        <v>12.8</v>
      </c>
      <c r="L15" s="337">
        <v>6.8</v>
      </c>
      <c r="M15" s="337">
        <v>21.4</v>
      </c>
      <c r="N15" s="338">
        <v>22.8</v>
      </c>
      <c r="O15" s="425">
        <v>21.2</v>
      </c>
      <c r="P15" s="337">
        <v>13</v>
      </c>
      <c r="Q15" s="337">
        <v>21.3</v>
      </c>
      <c r="R15" s="338">
        <v>25.6</v>
      </c>
      <c r="S15" s="425">
        <v>33.9</v>
      </c>
      <c r="T15" s="337">
        <v>21.2</v>
      </c>
      <c r="U15" s="337">
        <v>21</v>
      </c>
      <c r="V15" s="338">
        <v>14.1</v>
      </c>
      <c r="W15" s="425">
        <v>19.2</v>
      </c>
      <c r="X15" s="337">
        <v>25.2</v>
      </c>
      <c r="Y15" s="337">
        <v>21.5</v>
      </c>
      <c r="Z15" s="338">
        <v>24.2</v>
      </c>
      <c r="AA15" s="425">
        <v>37.98092087615715</v>
      </c>
      <c r="AB15" s="337">
        <v>40.428718098421875</v>
      </c>
      <c r="AC15" s="337">
        <v>33.010278386543447</v>
      </c>
      <c r="AD15" s="338">
        <v>17.01505583014783</v>
      </c>
      <c r="AE15" s="425">
        <v>36.700000000000003</v>
      </c>
      <c r="AF15" s="337">
        <v>10.6</v>
      </c>
      <c r="AG15" s="337">
        <v>13.2</v>
      </c>
      <c r="AH15" s="338">
        <v>18.2</v>
      </c>
      <c r="AI15" s="425">
        <v>33.799999999999997</v>
      </c>
      <c r="AJ15" s="337">
        <v>23.6</v>
      </c>
      <c r="AK15" s="337">
        <v>7.8</v>
      </c>
      <c r="AL15" s="338">
        <f>4.6</f>
        <v>4.5999999999999996</v>
      </c>
      <c r="AM15" s="425">
        <v>16.399999999999999</v>
      </c>
      <c r="AN15" s="337">
        <v>20.6</v>
      </c>
      <c r="AO15" s="337">
        <f>21.5+3.9</f>
        <v>25.4</v>
      </c>
      <c r="AP15" s="338">
        <v>75.099999999999994</v>
      </c>
      <c r="AQ15" s="425">
        <v>42.8</v>
      </c>
      <c r="AR15" s="337">
        <v>43.8</v>
      </c>
      <c r="AS15" s="337">
        <v>39.799999999999997</v>
      </c>
      <c r="AT15" s="337">
        <v>33.9</v>
      </c>
      <c r="AU15" s="425">
        <v>37.5</v>
      </c>
      <c r="AV15" s="337">
        <v>103.3</v>
      </c>
      <c r="AW15" s="337">
        <v>41.7</v>
      </c>
      <c r="AX15" s="426">
        <v>88.5</v>
      </c>
      <c r="AY15" s="427">
        <v>29.3</v>
      </c>
      <c r="AZ15" s="337">
        <v>32.4</v>
      </c>
      <c r="BA15" s="337">
        <v>60.8</v>
      </c>
      <c r="BB15" s="337">
        <v>71.099999999999994</v>
      </c>
      <c r="BC15" s="425">
        <v>109.5</v>
      </c>
      <c r="BD15" s="337">
        <v>70.8</v>
      </c>
      <c r="BE15" s="337">
        <v>82.4</v>
      </c>
      <c r="BF15" s="337">
        <v>323.60000000000002</v>
      </c>
    </row>
    <row r="16" spans="1:58" s="511" customFormat="1">
      <c r="A16" s="412" t="s">
        <v>533</v>
      </c>
      <c r="B16" s="412" t="s">
        <v>530</v>
      </c>
      <c r="C16" s="425">
        <v>0</v>
      </c>
      <c r="D16" s="337">
        <v>0</v>
      </c>
      <c r="E16" s="337">
        <v>0</v>
      </c>
      <c r="F16" s="337">
        <v>0</v>
      </c>
      <c r="G16" s="425">
        <v>0</v>
      </c>
      <c r="H16" s="337">
        <v>0</v>
      </c>
      <c r="I16" s="337">
        <v>0</v>
      </c>
      <c r="J16" s="337">
        <v>0</v>
      </c>
      <c r="K16" s="425">
        <v>0</v>
      </c>
      <c r="L16" s="337">
        <v>0</v>
      </c>
      <c r="M16" s="337">
        <v>0</v>
      </c>
      <c r="N16" s="337">
        <v>0</v>
      </c>
      <c r="O16" s="425">
        <v>0</v>
      </c>
      <c r="P16" s="337">
        <v>0</v>
      </c>
      <c r="Q16" s="337">
        <v>0</v>
      </c>
      <c r="R16" s="337">
        <v>0</v>
      </c>
      <c r="S16" s="425">
        <v>0</v>
      </c>
      <c r="T16" s="337">
        <v>0</v>
      </c>
      <c r="U16" s="337">
        <v>0</v>
      </c>
      <c r="V16" s="337">
        <v>0</v>
      </c>
      <c r="W16" s="425">
        <v>0</v>
      </c>
      <c r="X16" s="337">
        <v>0</v>
      </c>
      <c r="Y16" s="337">
        <v>0</v>
      </c>
      <c r="Z16" s="338">
        <v>0</v>
      </c>
      <c r="AA16" s="337">
        <v>0</v>
      </c>
      <c r="AB16" s="337">
        <v>0</v>
      </c>
      <c r="AC16" s="337">
        <v>0</v>
      </c>
      <c r="AD16" s="337">
        <v>0</v>
      </c>
      <c r="AE16" s="425">
        <v>0</v>
      </c>
      <c r="AF16" s="337">
        <v>0</v>
      </c>
      <c r="AG16" s="337">
        <v>0</v>
      </c>
      <c r="AH16" s="338">
        <v>0</v>
      </c>
      <c r="AI16" s="425">
        <v>0</v>
      </c>
      <c r="AJ16" s="337">
        <v>0</v>
      </c>
      <c r="AK16" s="337">
        <v>0</v>
      </c>
      <c r="AL16" s="338">
        <v>0</v>
      </c>
      <c r="AM16" s="425">
        <v>17.7</v>
      </c>
      <c r="AN16" s="337">
        <f>27.7+0.1</f>
        <v>27.8</v>
      </c>
      <c r="AO16" s="337">
        <f>27.6-0.1</f>
        <v>27.5</v>
      </c>
      <c r="AP16" s="338">
        <v>28.7</v>
      </c>
      <c r="AQ16" s="425">
        <v>31.9</v>
      </c>
      <c r="AR16" s="337">
        <v>28.4</v>
      </c>
      <c r="AS16" s="337">
        <v>32.5</v>
      </c>
      <c r="AT16" s="337">
        <v>33.699999999999996</v>
      </c>
      <c r="AU16" s="425">
        <v>35.700000000000003</v>
      </c>
      <c r="AV16" s="337">
        <v>38</v>
      </c>
      <c r="AW16" s="337">
        <v>39.5</v>
      </c>
      <c r="AX16" s="426">
        <v>41.7</v>
      </c>
      <c r="AY16" s="427">
        <v>38.1</v>
      </c>
      <c r="AZ16" s="337">
        <v>41.1</v>
      </c>
      <c r="BA16" s="337">
        <v>43.3</v>
      </c>
      <c r="BB16" s="337">
        <v>44.8</v>
      </c>
      <c r="BC16" s="425">
        <v>46.5</v>
      </c>
      <c r="BD16" s="337">
        <v>49.4</v>
      </c>
      <c r="BE16" s="337">
        <v>49.8</v>
      </c>
      <c r="BF16" s="337">
        <v>50.7</v>
      </c>
    </row>
    <row r="17" spans="1:58" s="15" customFormat="1" ht="24.6" customHeight="1">
      <c r="A17" s="51" t="s">
        <v>316</v>
      </c>
      <c r="B17" s="51" t="s">
        <v>341</v>
      </c>
      <c r="C17" s="37">
        <f>C14-C15</f>
        <v>109.09999999999997</v>
      </c>
      <c r="D17" s="38">
        <f t="shared" ref="D17:AG17" si="13">D14-D15</f>
        <v>101.1</v>
      </c>
      <c r="E17" s="38">
        <f t="shared" si="13"/>
        <v>119.20000000000002</v>
      </c>
      <c r="F17" s="38">
        <f t="shared" si="13"/>
        <v>58.100000000000037</v>
      </c>
      <c r="G17" s="37">
        <f t="shared" si="13"/>
        <v>65.700000000000074</v>
      </c>
      <c r="H17" s="38">
        <f t="shared" si="13"/>
        <v>94.80000000000004</v>
      </c>
      <c r="I17" s="38">
        <f t="shared" si="13"/>
        <v>87.499999999999972</v>
      </c>
      <c r="J17" s="38">
        <f t="shared" si="13"/>
        <v>20.799999999999919</v>
      </c>
      <c r="K17" s="37">
        <f t="shared" si="13"/>
        <v>55.3</v>
      </c>
      <c r="L17" s="38">
        <f t="shared" si="13"/>
        <v>97.999999999999957</v>
      </c>
      <c r="M17" s="38">
        <f t="shared" si="13"/>
        <v>66.399999999999949</v>
      </c>
      <c r="N17" s="38">
        <f t="shared" si="13"/>
        <v>49.899999999999991</v>
      </c>
      <c r="O17" s="37">
        <f t="shared" si="13"/>
        <v>38.100000000000009</v>
      </c>
      <c r="P17" s="38">
        <f t="shared" si="13"/>
        <v>90.299999999999955</v>
      </c>
      <c r="Q17" s="38">
        <f t="shared" si="13"/>
        <v>84.400000000000048</v>
      </c>
      <c r="R17" s="38">
        <f t="shared" si="13"/>
        <v>108.1</v>
      </c>
      <c r="S17" s="37">
        <f t="shared" si="13"/>
        <v>100.79999999999993</v>
      </c>
      <c r="T17" s="38">
        <f t="shared" si="13"/>
        <v>125.10000000000001</v>
      </c>
      <c r="U17" s="38">
        <f t="shared" si="13"/>
        <v>92.099999999999966</v>
      </c>
      <c r="V17" s="38">
        <f t="shared" si="13"/>
        <v>114.50000000000006</v>
      </c>
      <c r="W17" s="37">
        <f t="shared" si="13"/>
        <v>121.3262649184574</v>
      </c>
      <c r="X17" s="38">
        <f t="shared" si="13"/>
        <v>112.32250671647397</v>
      </c>
      <c r="Y17" s="38">
        <f t="shared" si="13"/>
        <v>122.72692057632861</v>
      </c>
      <c r="Z17" s="39">
        <f t="shared" si="13"/>
        <v>109.4137853683627</v>
      </c>
      <c r="AA17" s="38">
        <f t="shared" si="13"/>
        <v>109.0784460836249</v>
      </c>
      <c r="AB17" s="38">
        <f t="shared" si="13"/>
        <v>83.692903772979832</v>
      </c>
      <c r="AC17" s="38">
        <f t="shared" si="13"/>
        <v>113.61337879652042</v>
      </c>
      <c r="AD17" s="38">
        <f t="shared" si="13"/>
        <v>164.12923521742636</v>
      </c>
      <c r="AE17" s="37">
        <f>AE14-AE15</f>
        <v>164.29999999999995</v>
      </c>
      <c r="AF17" s="38">
        <f>AF14-AF15</f>
        <v>197.04609477203056</v>
      </c>
      <c r="AG17" s="38">
        <f t="shared" si="13"/>
        <v>193.40000000000003</v>
      </c>
      <c r="AH17" s="39">
        <f>AH14-AH15</f>
        <v>157.80000000000001</v>
      </c>
      <c r="AI17" s="37">
        <f>AI14-AI15</f>
        <v>134.19999999999993</v>
      </c>
      <c r="AJ17" s="38">
        <f>AJ14-AJ15</f>
        <v>242.79999999999998</v>
      </c>
      <c r="AK17" s="38">
        <f>AK14-AK15</f>
        <v>210.2</v>
      </c>
      <c r="AL17" s="39">
        <f>AL14-AL15</f>
        <v>113.9</v>
      </c>
      <c r="AM17" s="37">
        <f t="shared" ref="AM17:AO17" si="14">AM14-AM15-AM16</f>
        <v>188.79999999999998</v>
      </c>
      <c r="AN17" s="38">
        <f t="shared" si="14"/>
        <v>365.09999999999997</v>
      </c>
      <c r="AO17" s="38">
        <f t="shared" si="14"/>
        <v>237.70000000000005</v>
      </c>
      <c r="AP17" s="39">
        <f t="shared" ref="AP17:AY17" si="15">AP14-AP15-AP16</f>
        <v>205.69999999999996</v>
      </c>
      <c r="AQ17" s="37">
        <f t="shared" si="15"/>
        <v>215.20000000000002</v>
      </c>
      <c r="AR17" s="38">
        <f t="shared" si="15"/>
        <v>297.60000000000002</v>
      </c>
      <c r="AS17" s="38">
        <f t="shared" si="15"/>
        <v>289.10000000000008</v>
      </c>
      <c r="AT17" s="38">
        <f t="shared" si="15"/>
        <v>317.2</v>
      </c>
      <c r="AU17" s="37">
        <f t="shared" si="15"/>
        <v>279.7999999999999</v>
      </c>
      <c r="AV17" s="38">
        <f t="shared" si="15"/>
        <v>314.59999999999985</v>
      </c>
      <c r="AW17" s="38">
        <f t="shared" si="15"/>
        <v>315.20456785007212</v>
      </c>
      <c r="AX17" s="354">
        <f t="shared" si="15"/>
        <v>320.7</v>
      </c>
      <c r="AY17" s="355">
        <f t="shared" si="15"/>
        <v>210.11174412239379</v>
      </c>
      <c r="AZ17" s="38">
        <f t="shared" ref="AZ17:BC17" si="16">AZ14-AZ15-AZ16</f>
        <v>330.01332804242776</v>
      </c>
      <c r="BA17" s="38">
        <f t="shared" si="16"/>
        <v>275.4546808581245</v>
      </c>
      <c r="BB17" s="38">
        <f t="shared" si="16"/>
        <v>299.27434326463464</v>
      </c>
      <c r="BC17" s="37">
        <f t="shared" si="16"/>
        <v>201.39999999999986</v>
      </c>
      <c r="BD17" s="38">
        <f t="shared" ref="BD17:BF17" si="17">BD14-BD15-BD16</f>
        <v>237.05509923000002</v>
      </c>
      <c r="BE17" s="38">
        <f t="shared" si="17"/>
        <v>256.99999999999994</v>
      </c>
      <c r="BF17" s="38">
        <f t="shared" si="17"/>
        <v>40.88208920530046</v>
      </c>
    </row>
    <row r="18" spans="1:58">
      <c r="A18" s="650" t="s">
        <v>174</v>
      </c>
      <c r="B18" s="650" t="s">
        <v>37</v>
      </c>
      <c r="C18" s="169"/>
      <c r="D18" s="169"/>
      <c r="E18" s="169"/>
      <c r="F18" s="169"/>
      <c r="G18" s="169"/>
      <c r="H18" s="169"/>
      <c r="I18" s="169"/>
      <c r="J18" s="169"/>
      <c r="K18" s="169"/>
      <c r="L18" s="169"/>
      <c r="M18" s="169"/>
      <c r="N18" s="169"/>
      <c r="O18" s="169"/>
      <c r="P18" s="169"/>
      <c r="Q18" s="169"/>
      <c r="R18" s="169"/>
      <c r="S18" s="169"/>
      <c r="T18" s="169"/>
      <c r="U18" s="169"/>
      <c r="V18" s="169"/>
      <c r="W18" s="170"/>
      <c r="X18" s="170"/>
      <c r="Y18" s="170"/>
      <c r="Z18" s="170"/>
      <c r="AA18" s="170"/>
      <c r="AB18" s="170"/>
      <c r="AC18" s="170"/>
      <c r="AD18" s="170"/>
      <c r="AE18" s="170"/>
      <c r="AF18" s="170"/>
      <c r="AG18" s="170"/>
      <c r="AH18" s="170"/>
      <c r="AI18" s="170"/>
      <c r="AJ18" s="170"/>
      <c r="AK18" s="170"/>
      <c r="AL18" s="170"/>
      <c r="AM18" s="170"/>
      <c r="AN18" s="170"/>
      <c r="AO18" s="170"/>
      <c r="AP18" s="170"/>
      <c r="AQ18" s="170"/>
      <c r="AR18" s="170"/>
      <c r="AS18" s="170"/>
      <c r="AT18" s="170"/>
      <c r="AU18" s="170"/>
      <c r="AV18" s="169"/>
      <c r="AW18" s="170"/>
      <c r="AY18" s="170"/>
      <c r="AZ18" s="169"/>
      <c r="BA18" s="170"/>
      <c r="BC18" s="170"/>
      <c r="BD18" s="169"/>
      <c r="BE18" s="170"/>
    </row>
    <row r="19" spans="1:58">
      <c r="A19" s="651"/>
      <c r="B19" s="651"/>
    </row>
    <row r="20" spans="1:58">
      <c r="A20" s="13"/>
      <c r="B20" s="13"/>
      <c r="AT20" s="171"/>
    </row>
    <row r="21" spans="1:58">
      <c r="A21" s="13"/>
      <c r="B21" s="13"/>
      <c r="AQ21" s="19"/>
      <c r="AR21" s="19"/>
      <c r="AS21" s="19"/>
      <c r="AT21" s="19"/>
      <c r="AW21" s="19"/>
      <c r="BA21" s="19"/>
      <c r="BE21" s="19"/>
    </row>
    <row r="22" spans="1:58">
      <c r="A22" s="13"/>
      <c r="B22" s="13"/>
    </row>
    <row r="23" spans="1:58">
      <c r="A23" s="13"/>
      <c r="B23" s="13"/>
    </row>
    <row r="24" spans="1:58">
      <c r="A24" s="13"/>
      <c r="B24" s="13"/>
    </row>
    <row r="25" spans="1:58">
      <c r="A25" s="13"/>
      <c r="B25" s="13"/>
    </row>
    <row r="26" spans="1:58">
      <c r="A26" s="13"/>
      <c r="B26" s="13"/>
    </row>
    <row r="27" spans="1:58">
      <c r="A27" s="13"/>
      <c r="B27" s="13"/>
    </row>
    <row r="28" spans="1:58">
      <c r="A28" s="13"/>
      <c r="B28" s="13"/>
    </row>
    <row r="29" spans="1:58">
      <c r="A29" s="13"/>
      <c r="B29" s="13"/>
    </row>
    <row r="30" spans="1:58">
      <c r="A30" s="13"/>
      <c r="B30" s="13"/>
    </row>
    <row r="31" spans="1:58">
      <c r="A31" s="13"/>
      <c r="B31" s="13"/>
    </row>
    <row r="32" spans="1:58">
      <c r="A32" s="13"/>
      <c r="B32" s="13"/>
    </row>
    <row r="33" spans="1:2">
      <c r="A33" s="13"/>
      <c r="B33" s="13"/>
    </row>
    <row r="34" spans="1:2">
      <c r="A34" s="13"/>
      <c r="B34" s="13"/>
    </row>
    <row r="35" spans="1:2">
      <c r="A35" s="13"/>
      <c r="B35" s="13"/>
    </row>
    <row r="36" spans="1:2">
      <c r="A36" s="13"/>
      <c r="B36" s="13"/>
    </row>
    <row r="37" spans="1:2">
      <c r="A37" s="13"/>
      <c r="B37" s="13"/>
    </row>
    <row r="38" spans="1:2">
      <c r="A38" s="13"/>
      <c r="B38" s="13"/>
    </row>
    <row r="39" spans="1:2">
      <c r="A39" s="13"/>
      <c r="B39" s="13"/>
    </row>
    <row r="40" spans="1:2">
      <c r="A40" s="13"/>
      <c r="B40" s="13"/>
    </row>
    <row r="41" spans="1:2">
      <c r="A41" s="13"/>
      <c r="B41" s="13"/>
    </row>
  </sheetData>
  <mergeCells count="18">
    <mergeCell ref="BC2:BF2"/>
    <mergeCell ref="W2:Z2"/>
    <mergeCell ref="S2:V2"/>
    <mergeCell ref="AY2:BB2"/>
    <mergeCell ref="AU2:AX2"/>
    <mergeCell ref="A18:A19"/>
    <mergeCell ref="B18:B19"/>
    <mergeCell ref="A2:A3"/>
    <mergeCell ref="B2:B3"/>
    <mergeCell ref="C2:F2"/>
    <mergeCell ref="G2:J2"/>
    <mergeCell ref="K2:N2"/>
    <mergeCell ref="AQ2:AT2"/>
    <mergeCell ref="AM2:AP2"/>
    <mergeCell ref="O2:R2"/>
    <mergeCell ref="AI2:AL2"/>
    <mergeCell ref="AE2:AH2"/>
    <mergeCell ref="AA2:AD2"/>
  </mergeCells>
  <printOptions horizontalCentered="1"/>
  <pageMargins left="0.23622047244094491" right="0.23622047244094491" top="0.74803149606299213" bottom="0.74803149606299213" header="0.31496062992125984" footer="0.31496062992125984"/>
  <pageSetup paperSize="9" scale="33"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pageSetUpPr fitToPage="1"/>
  </sheetPr>
  <dimension ref="A1:BF57"/>
  <sheetViews>
    <sheetView showGridLines="0" view="pageBreakPreview" zoomScaleNormal="100" zoomScaleSheetLayoutView="100" zoomScalePageLayoutView="80" workbookViewId="0">
      <pane xSplit="2" ySplit="4" topLeftCell="AP5" activePane="bottomRight" state="frozen"/>
      <selection activeCell="B1" sqref="B1"/>
      <selection pane="topRight" activeCell="C1" sqref="C1"/>
      <selection pane="bottomLeft" activeCell="B5" sqref="B5"/>
      <selection pane="bottomRight" activeCell="BC2" sqref="BC2:BF2"/>
    </sheetView>
  </sheetViews>
  <sheetFormatPr defaultColWidth="8.85546875" defaultRowHeight="13.5"/>
  <cols>
    <col min="1" max="2" width="49.85546875" style="52" bestFit="1" customWidth="1"/>
    <col min="3" max="49" width="6" style="63" customWidth="1"/>
    <col min="50" max="50" width="6" style="13" customWidth="1"/>
    <col min="51" max="53" width="6" style="63" customWidth="1"/>
    <col min="54" max="54" width="6" style="13" customWidth="1"/>
    <col min="55" max="57" width="6" style="63" customWidth="1"/>
    <col min="58" max="58" width="6" style="13" customWidth="1"/>
    <col min="59" max="16384" width="8.85546875" style="13"/>
  </cols>
  <sheetData>
    <row r="1" spans="1:58" s="14" customFormat="1" ht="12.75" customHeight="1">
      <c r="A1" s="18" t="s">
        <v>542</v>
      </c>
      <c r="B1" s="18" t="s">
        <v>537</v>
      </c>
      <c r="C1" s="69"/>
      <c r="D1" s="69"/>
      <c r="E1" s="69"/>
      <c r="F1" s="69"/>
      <c r="G1" s="69"/>
      <c r="H1" s="80"/>
      <c r="I1" s="69"/>
      <c r="J1" s="69"/>
      <c r="K1" s="69"/>
      <c r="L1" s="69"/>
      <c r="M1" s="69"/>
      <c r="N1" s="69"/>
      <c r="O1" s="69"/>
      <c r="P1" s="69"/>
      <c r="Q1" s="69"/>
      <c r="R1" s="69"/>
      <c r="S1" s="69"/>
      <c r="T1" s="69"/>
      <c r="U1" s="69"/>
      <c r="V1" s="69"/>
      <c r="W1" s="69"/>
      <c r="X1" s="69"/>
      <c r="Y1" s="69"/>
      <c r="Z1" s="69"/>
      <c r="AA1" s="69"/>
      <c r="AB1" s="69"/>
      <c r="AC1" s="69"/>
      <c r="AD1" s="69"/>
      <c r="AE1" s="69"/>
      <c r="AF1" s="69"/>
      <c r="AG1" s="69"/>
      <c r="AH1" s="69"/>
      <c r="AI1" s="69"/>
      <c r="AJ1" s="69"/>
      <c r="AK1" s="69"/>
      <c r="AL1" s="69"/>
      <c r="AM1" s="69"/>
      <c r="AN1" s="69"/>
      <c r="AO1" s="69"/>
      <c r="AP1" s="69"/>
      <c r="AQ1" s="69"/>
      <c r="AR1" s="69"/>
      <c r="AS1" s="69"/>
      <c r="AT1" s="69"/>
      <c r="AU1" s="69"/>
      <c r="AV1" s="69"/>
      <c r="AW1" s="69"/>
      <c r="AY1" s="69"/>
      <c r="AZ1" s="69"/>
      <c r="BA1" s="69"/>
      <c r="BC1" s="69"/>
      <c r="BD1" s="69"/>
      <c r="BE1" s="69"/>
    </row>
    <row r="2" spans="1:58" ht="13.5" customHeight="1">
      <c r="A2" s="639" t="s">
        <v>157</v>
      </c>
      <c r="B2" s="639" t="s">
        <v>1</v>
      </c>
      <c r="C2" s="636">
        <v>2007</v>
      </c>
      <c r="D2" s="641"/>
      <c r="E2" s="641"/>
      <c r="F2" s="641"/>
      <c r="G2" s="636">
        <v>2008</v>
      </c>
      <c r="H2" s="641"/>
      <c r="I2" s="641"/>
      <c r="J2" s="641"/>
      <c r="K2" s="636">
        <v>2009</v>
      </c>
      <c r="L2" s="641"/>
      <c r="M2" s="641"/>
      <c r="N2" s="641"/>
      <c r="O2" s="636">
        <v>2010</v>
      </c>
      <c r="P2" s="641"/>
      <c r="Q2" s="641"/>
      <c r="R2" s="641"/>
      <c r="S2" s="636">
        <v>2011</v>
      </c>
      <c r="T2" s="641"/>
      <c r="U2" s="641"/>
      <c r="V2" s="641"/>
      <c r="W2" s="636">
        <v>2012</v>
      </c>
      <c r="X2" s="641"/>
      <c r="Y2" s="641"/>
      <c r="Z2" s="642"/>
      <c r="AA2" s="636">
        <v>2013</v>
      </c>
      <c r="AB2" s="641"/>
      <c r="AC2" s="641"/>
      <c r="AD2" s="642"/>
      <c r="AE2" s="636">
        <v>2014</v>
      </c>
      <c r="AF2" s="641"/>
      <c r="AG2" s="641"/>
      <c r="AH2" s="642"/>
      <c r="AI2" s="636">
        <v>2015</v>
      </c>
      <c r="AJ2" s="641"/>
      <c r="AK2" s="641"/>
      <c r="AL2" s="641"/>
      <c r="AM2" s="636">
        <v>2016</v>
      </c>
      <c r="AN2" s="641"/>
      <c r="AO2" s="641"/>
      <c r="AP2" s="641"/>
      <c r="AQ2" s="645">
        <v>2017</v>
      </c>
      <c r="AR2" s="641"/>
      <c r="AS2" s="641"/>
      <c r="AT2" s="641"/>
      <c r="AU2" s="645">
        <v>2018</v>
      </c>
      <c r="AV2" s="641"/>
      <c r="AW2" s="652"/>
      <c r="AX2" s="652"/>
      <c r="AY2" s="645">
        <v>2019</v>
      </c>
      <c r="AZ2" s="641"/>
      <c r="BA2" s="652"/>
      <c r="BB2" s="652"/>
      <c r="BC2" s="645">
        <v>2020</v>
      </c>
      <c r="BD2" s="641"/>
      <c r="BE2" s="652"/>
      <c r="BF2" s="652"/>
    </row>
    <row r="3" spans="1:58" s="14" customFormat="1" ht="13.5" customHeight="1">
      <c r="A3" s="640"/>
      <c r="B3" s="640"/>
      <c r="C3" s="20" t="s">
        <v>149</v>
      </c>
      <c r="D3" s="21" t="s">
        <v>150</v>
      </c>
      <c r="E3" s="21" t="s">
        <v>151</v>
      </c>
      <c r="F3" s="21" t="s">
        <v>152</v>
      </c>
      <c r="G3" s="20" t="s">
        <v>149</v>
      </c>
      <c r="H3" s="21" t="s">
        <v>150</v>
      </c>
      <c r="I3" s="21" t="s">
        <v>151</v>
      </c>
      <c r="J3" s="21" t="s">
        <v>152</v>
      </c>
      <c r="K3" s="20" t="s">
        <v>149</v>
      </c>
      <c r="L3" s="21" t="s">
        <v>150</v>
      </c>
      <c r="M3" s="21" t="s">
        <v>151</v>
      </c>
      <c r="N3" s="21" t="s">
        <v>152</v>
      </c>
      <c r="O3" s="20" t="s">
        <v>149</v>
      </c>
      <c r="P3" s="21" t="s">
        <v>150</v>
      </c>
      <c r="Q3" s="21" t="s">
        <v>151</v>
      </c>
      <c r="R3" s="21" t="s">
        <v>152</v>
      </c>
      <c r="S3" s="20" t="s">
        <v>149</v>
      </c>
      <c r="T3" s="21" t="s">
        <v>150</v>
      </c>
      <c r="U3" s="21" t="s">
        <v>151</v>
      </c>
      <c r="V3" s="21" t="s">
        <v>152</v>
      </c>
      <c r="W3" s="20" t="s">
        <v>149</v>
      </c>
      <c r="X3" s="21" t="s">
        <v>150</v>
      </c>
      <c r="Y3" s="21" t="s">
        <v>151</v>
      </c>
      <c r="Z3" s="43" t="s">
        <v>152</v>
      </c>
      <c r="AA3" s="20" t="s">
        <v>149</v>
      </c>
      <c r="AB3" s="21" t="s">
        <v>150</v>
      </c>
      <c r="AC3" s="21" t="s">
        <v>151</v>
      </c>
      <c r="AD3" s="43" t="s">
        <v>152</v>
      </c>
      <c r="AE3" s="20" t="s">
        <v>149</v>
      </c>
      <c r="AF3" s="21" t="s">
        <v>150</v>
      </c>
      <c r="AG3" s="21" t="s">
        <v>151</v>
      </c>
      <c r="AH3" s="21" t="s">
        <v>152</v>
      </c>
      <c r="AI3" s="20" t="s">
        <v>149</v>
      </c>
      <c r="AJ3" s="21" t="s">
        <v>150</v>
      </c>
      <c r="AK3" s="21" t="s">
        <v>151</v>
      </c>
      <c r="AL3" s="21" t="s">
        <v>152</v>
      </c>
      <c r="AM3" s="20" t="s">
        <v>149</v>
      </c>
      <c r="AN3" s="21" t="s">
        <v>150</v>
      </c>
      <c r="AO3" s="21" t="s">
        <v>151</v>
      </c>
      <c r="AP3" s="21" t="s">
        <v>152</v>
      </c>
      <c r="AQ3" s="20" t="s">
        <v>149</v>
      </c>
      <c r="AR3" s="21" t="s">
        <v>150</v>
      </c>
      <c r="AS3" s="21" t="s">
        <v>151</v>
      </c>
      <c r="AT3" s="21" t="s">
        <v>152</v>
      </c>
      <c r="AU3" s="20" t="s">
        <v>149</v>
      </c>
      <c r="AV3" s="21" t="s">
        <v>150</v>
      </c>
      <c r="AW3" s="21" t="s">
        <v>151</v>
      </c>
      <c r="AX3" s="21" t="s">
        <v>152</v>
      </c>
      <c r="AY3" s="20" t="s">
        <v>149</v>
      </c>
      <c r="AZ3" s="21" t="s">
        <v>150</v>
      </c>
      <c r="BA3" s="21" t="s">
        <v>151</v>
      </c>
      <c r="BB3" s="21" t="s">
        <v>152</v>
      </c>
      <c r="BC3" s="20" t="s">
        <v>149</v>
      </c>
      <c r="BD3" s="21" t="s">
        <v>150</v>
      </c>
      <c r="BE3" s="21" t="s">
        <v>151</v>
      </c>
      <c r="BF3" s="21" t="s">
        <v>152</v>
      </c>
    </row>
    <row r="4" spans="1:58" s="172" customFormat="1" ht="12.75" customHeight="1">
      <c r="A4" s="22" t="s">
        <v>154</v>
      </c>
      <c r="B4" s="22" t="s">
        <v>11</v>
      </c>
      <c r="C4" s="111"/>
      <c r="D4" s="112"/>
      <c r="E4" s="22"/>
      <c r="F4" s="112"/>
      <c r="G4" s="111"/>
      <c r="H4" s="112"/>
      <c r="I4" s="22"/>
      <c r="J4" s="113"/>
      <c r="K4" s="111"/>
      <c r="L4" s="112"/>
      <c r="M4" s="22"/>
      <c r="N4" s="113"/>
      <c r="O4" s="111"/>
      <c r="P4" s="112"/>
      <c r="Q4" s="22"/>
      <c r="R4" s="113"/>
      <c r="S4" s="111"/>
      <c r="T4" s="112"/>
      <c r="U4" s="22"/>
      <c r="V4" s="113"/>
      <c r="W4" s="111"/>
      <c r="X4" s="22"/>
      <c r="Y4" s="22"/>
      <c r="Z4" s="114"/>
      <c r="AA4" s="111"/>
      <c r="AB4" s="22"/>
      <c r="AC4" s="22"/>
      <c r="AD4" s="114"/>
      <c r="AE4" s="111"/>
      <c r="AF4" s="22"/>
      <c r="AG4" s="22"/>
      <c r="AH4" s="22"/>
      <c r="AI4" s="111"/>
      <c r="AJ4" s="22"/>
      <c r="AK4" s="22"/>
      <c r="AL4" s="22"/>
      <c r="AM4" s="111"/>
      <c r="AN4" s="22"/>
      <c r="AO4" s="22"/>
      <c r="AP4" s="22"/>
      <c r="AQ4" s="111"/>
      <c r="AR4" s="22"/>
      <c r="AS4" s="22"/>
      <c r="AT4" s="22"/>
      <c r="AU4" s="111"/>
      <c r="AV4" s="22"/>
      <c r="AW4" s="22"/>
      <c r="AX4" s="22"/>
      <c r="AY4" s="111"/>
      <c r="AZ4" s="22"/>
      <c r="BA4" s="22"/>
      <c r="BB4" s="22"/>
      <c r="BC4" s="111"/>
      <c r="BD4" s="22"/>
      <c r="BE4" s="22"/>
      <c r="BF4" s="22"/>
    </row>
    <row r="5" spans="1:58" s="428" customFormat="1" ht="22.5">
      <c r="A5" s="421" t="s">
        <v>704</v>
      </c>
      <c r="B5" s="421" t="s">
        <v>545</v>
      </c>
      <c r="C5" s="407"/>
      <c r="D5" s="408"/>
      <c r="E5" s="408"/>
      <c r="F5" s="408"/>
      <c r="G5" s="407"/>
      <c r="H5" s="408"/>
      <c r="I5" s="408"/>
      <c r="J5" s="504"/>
      <c r="K5" s="407"/>
      <c r="L5" s="408"/>
      <c r="M5" s="408"/>
      <c r="N5" s="504"/>
      <c r="O5" s="407"/>
      <c r="P5" s="408"/>
      <c r="Q5" s="408"/>
      <c r="R5" s="504"/>
      <c r="S5" s="407"/>
      <c r="T5" s="408"/>
      <c r="U5" s="408"/>
      <c r="V5" s="504"/>
      <c r="W5" s="407"/>
      <c r="X5" s="408"/>
      <c r="Y5" s="408"/>
      <c r="Z5" s="504"/>
      <c r="AA5" s="407"/>
      <c r="AB5" s="408"/>
      <c r="AC5" s="408"/>
      <c r="AD5" s="504"/>
      <c r="AE5" s="407"/>
      <c r="AF5" s="408"/>
      <c r="AG5" s="408"/>
      <c r="AH5" s="408"/>
      <c r="AI5" s="407"/>
      <c r="AJ5" s="408"/>
      <c r="AK5" s="408"/>
      <c r="AL5" s="408"/>
      <c r="AM5" s="407"/>
      <c r="AN5" s="408"/>
      <c r="AO5" s="408"/>
      <c r="AP5" s="408"/>
      <c r="AQ5" s="405"/>
      <c r="AR5" s="406"/>
      <c r="AS5" s="406"/>
      <c r="AT5" s="406"/>
      <c r="AU5" s="405">
        <f t="shared" ref="AU5:AZ5" si="0">SUM(AU6:AU9)</f>
        <v>1096.8</v>
      </c>
      <c r="AV5" s="406">
        <f t="shared" si="0"/>
        <v>1148.8</v>
      </c>
      <c r="AW5" s="406">
        <f t="shared" si="0"/>
        <v>1193.4000000000001</v>
      </c>
      <c r="AX5" s="406">
        <f t="shared" si="0"/>
        <v>1229.5</v>
      </c>
      <c r="AY5" s="405">
        <f t="shared" si="0"/>
        <v>1262</v>
      </c>
      <c r="AZ5" s="406">
        <f t="shared" si="0"/>
        <v>1313</v>
      </c>
      <c r="BA5" s="406">
        <f t="shared" ref="BA5:BB5" si="1">SUM(BA6:BA9)</f>
        <v>1366.5</v>
      </c>
      <c r="BB5" s="406">
        <f t="shared" si="1"/>
        <v>1365.6999999999996</v>
      </c>
      <c r="BC5" s="405">
        <f t="shared" ref="BC5" si="2">SUM(BC6:BC9)</f>
        <v>1385.8000000000002</v>
      </c>
      <c r="BD5" s="406">
        <f t="shared" ref="BD5:BF5" si="3">SUM(BD6:BD9)</f>
        <v>1303.3</v>
      </c>
      <c r="BE5" s="406">
        <f t="shared" si="3"/>
        <v>1276.5999999999999</v>
      </c>
      <c r="BF5" s="406">
        <f t="shared" si="3"/>
        <v>1278.4000000000001</v>
      </c>
    </row>
    <row r="6" spans="1:58" s="428" customFormat="1" ht="22.5">
      <c r="A6" s="508" t="s">
        <v>701</v>
      </c>
      <c r="B6" s="508" t="s">
        <v>546</v>
      </c>
      <c r="C6" s="407">
        <v>196.4</v>
      </c>
      <c r="D6" s="408">
        <v>219.2</v>
      </c>
      <c r="E6" s="408">
        <v>237</v>
      </c>
      <c r="F6" s="408">
        <v>220.2</v>
      </c>
      <c r="G6" s="407">
        <v>214.6</v>
      </c>
      <c r="H6" s="408">
        <v>176.10000000000002</v>
      </c>
      <c r="I6" s="408">
        <v>143</v>
      </c>
      <c r="J6" s="504">
        <v>139.19999999999999</v>
      </c>
      <c r="K6" s="407">
        <v>66.599999999999994</v>
      </c>
      <c r="L6" s="408">
        <v>39</v>
      </c>
      <c r="M6" s="408">
        <v>31.2</v>
      </c>
      <c r="N6" s="504">
        <v>32.200000000000003</v>
      </c>
      <c r="O6" s="407">
        <v>24.2</v>
      </c>
      <c r="P6" s="408">
        <v>29.9</v>
      </c>
      <c r="Q6" s="408">
        <v>21.7</v>
      </c>
      <c r="R6" s="504">
        <v>23.5</v>
      </c>
      <c r="S6" s="407">
        <v>26.3</v>
      </c>
      <c r="T6" s="408">
        <v>29.8</v>
      </c>
      <c r="U6" s="408">
        <v>30.2</v>
      </c>
      <c r="V6" s="504">
        <v>41.9</v>
      </c>
      <c r="W6" s="407">
        <f>26.8-26.8+26.9</f>
        <v>26.9</v>
      </c>
      <c r="X6" s="408">
        <f>30.4-30.4+31</f>
        <v>31</v>
      </c>
      <c r="Y6" s="408">
        <v>37.4</v>
      </c>
      <c r="Z6" s="504">
        <v>40.5</v>
      </c>
      <c r="AA6" s="407">
        <v>27.8</v>
      </c>
      <c r="AB6" s="408">
        <v>25.3</v>
      </c>
      <c r="AC6" s="408">
        <v>23.8</v>
      </c>
      <c r="AD6" s="504">
        <v>28.5</v>
      </c>
      <c r="AE6" s="407">
        <v>28.7</v>
      </c>
      <c r="AF6" s="408">
        <v>23.8</v>
      </c>
      <c r="AG6" s="408">
        <v>22.3</v>
      </c>
      <c r="AH6" s="408">
        <v>17.8</v>
      </c>
      <c r="AI6" s="407">
        <v>15.9</v>
      </c>
      <c r="AJ6" s="408">
        <v>15.4</v>
      </c>
      <c r="AK6" s="408">
        <v>17.100000000000001</v>
      </c>
      <c r="AL6" s="408">
        <v>14.4</v>
      </c>
      <c r="AM6" s="407">
        <v>12.3</v>
      </c>
      <c r="AN6" s="408">
        <v>13.9</v>
      </c>
      <c r="AO6" s="408">
        <v>12.7</v>
      </c>
      <c r="AP6" s="408">
        <v>12.3</v>
      </c>
      <c r="AQ6" s="407">
        <v>12.5</v>
      </c>
      <c r="AR6" s="408">
        <v>13.7</v>
      </c>
      <c r="AS6" s="408">
        <v>13.9</v>
      </c>
      <c r="AT6" s="408">
        <v>16.100000000000001</v>
      </c>
      <c r="AU6" s="407">
        <v>9.5</v>
      </c>
      <c r="AV6" s="408">
        <v>7.9</v>
      </c>
      <c r="AW6" s="408">
        <v>10.1</v>
      </c>
      <c r="AX6" s="408">
        <v>8.9</v>
      </c>
      <c r="AY6" s="407">
        <v>9.6999999999999993</v>
      </c>
      <c r="AZ6" s="408">
        <v>10.199999999999999</v>
      </c>
      <c r="BA6" s="408">
        <v>11</v>
      </c>
      <c r="BB6" s="408">
        <v>11.1</v>
      </c>
      <c r="BC6" s="407">
        <v>10.199999999999999</v>
      </c>
      <c r="BD6" s="408">
        <v>4.7</v>
      </c>
      <c r="BE6" s="408">
        <v>2.1</v>
      </c>
      <c r="BF6" s="408">
        <v>2.1</v>
      </c>
    </row>
    <row r="7" spans="1:58" s="428" customFormat="1" ht="22.5">
      <c r="A7" s="508" t="s">
        <v>702</v>
      </c>
      <c r="B7" s="508" t="s">
        <v>784</v>
      </c>
      <c r="C7" s="407">
        <v>193.10000000000002</v>
      </c>
      <c r="D7" s="408">
        <v>216.6</v>
      </c>
      <c r="E7" s="408">
        <v>237.50000000000003</v>
      </c>
      <c r="F7" s="408">
        <v>277.39999999999998</v>
      </c>
      <c r="G7" s="407">
        <v>305.2</v>
      </c>
      <c r="H7" s="408">
        <v>353.2</v>
      </c>
      <c r="I7" s="408">
        <v>404.20000000000005</v>
      </c>
      <c r="J7" s="504">
        <v>438.7</v>
      </c>
      <c r="K7" s="407">
        <v>423.4</v>
      </c>
      <c r="L7" s="408">
        <v>419.3</v>
      </c>
      <c r="M7" s="408">
        <v>412.00000000000006</v>
      </c>
      <c r="N7" s="504">
        <v>404.7</v>
      </c>
      <c r="O7" s="407">
        <v>424.2</v>
      </c>
      <c r="P7" s="408">
        <v>431.40000000000003</v>
      </c>
      <c r="Q7" s="408">
        <v>461.7</v>
      </c>
      <c r="R7" s="504">
        <v>479.2</v>
      </c>
      <c r="S7" s="407">
        <v>497.1</v>
      </c>
      <c r="T7" s="408">
        <v>546.6</v>
      </c>
      <c r="U7" s="408">
        <v>608.29999999999995</v>
      </c>
      <c r="V7" s="504">
        <v>635.1</v>
      </c>
      <c r="W7" s="407">
        <v>707.7</v>
      </c>
      <c r="X7" s="408">
        <v>732.99999999999989</v>
      </c>
      <c r="Y7" s="408">
        <v>742.2</v>
      </c>
      <c r="Z7" s="504">
        <v>736.2</v>
      </c>
      <c r="AA7" s="407">
        <v>685.3</v>
      </c>
      <c r="AB7" s="408">
        <v>677.5</v>
      </c>
      <c r="AC7" s="408">
        <v>668.09999999999991</v>
      </c>
      <c r="AD7" s="504">
        <v>674.30000000000007</v>
      </c>
      <c r="AE7" s="407">
        <v>678.1</v>
      </c>
      <c r="AF7" s="408">
        <v>703.3</v>
      </c>
      <c r="AG7" s="408">
        <v>731.8</v>
      </c>
      <c r="AH7" s="408">
        <v>709.1</v>
      </c>
      <c r="AI7" s="407">
        <v>687.7</v>
      </c>
      <c r="AJ7" s="408">
        <v>691.1</v>
      </c>
      <c r="AK7" s="408">
        <v>738</v>
      </c>
      <c r="AL7" s="408">
        <v>750.40000000000009</v>
      </c>
      <c r="AM7" s="407">
        <v>746.59999999999991</v>
      </c>
      <c r="AN7" s="408">
        <v>764.7</v>
      </c>
      <c r="AO7" s="408">
        <v>802.5</v>
      </c>
      <c r="AP7" s="408">
        <v>821.09999999999991</v>
      </c>
      <c r="AQ7" s="407">
        <v>826.3</v>
      </c>
      <c r="AR7" s="408">
        <v>866.5</v>
      </c>
      <c r="AS7" s="408">
        <v>908.6</v>
      </c>
      <c r="AT7" s="408">
        <v>935.7</v>
      </c>
      <c r="AU7" s="407">
        <v>918.5</v>
      </c>
      <c r="AV7" s="408">
        <v>966.7</v>
      </c>
      <c r="AW7" s="408">
        <v>1010.6</v>
      </c>
      <c r="AX7" s="408">
        <v>1059.9000000000001</v>
      </c>
      <c r="AY7" s="407">
        <v>1082.8</v>
      </c>
      <c r="AZ7" s="408">
        <v>1136</v>
      </c>
      <c r="BA7" s="408">
        <v>1178.5</v>
      </c>
      <c r="BB7" s="408">
        <v>1173.7999999999997</v>
      </c>
      <c r="BC7" s="407">
        <v>1200.2</v>
      </c>
      <c r="BD7" s="408">
        <v>1092.5</v>
      </c>
      <c r="BE7" s="408">
        <v>1089.9000000000001</v>
      </c>
      <c r="BF7" s="408">
        <v>1120.2</v>
      </c>
    </row>
    <row r="8" spans="1:58" s="418" customFormat="1" ht="22.5">
      <c r="A8" s="411" t="s">
        <v>703</v>
      </c>
      <c r="B8" s="411" t="s">
        <v>547</v>
      </c>
      <c r="C8" s="526" t="s">
        <v>332</v>
      </c>
      <c r="D8" s="527" t="s">
        <v>332</v>
      </c>
      <c r="E8" s="527" t="s">
        <v>332</v>
      </c>
      <c r="F8" s="527" t="s">
        <v>332</v>
      </c>
      <c r="G8" s="407" t="s">
        <v>332</v>
      </c>
      <c r="H8" s="408" t="s">
        <v>332</v>
      </c>
      <c r="I8" s="408" t="s">
        <v>332</v>
      </c>
      <c r="J8" s="504" t="s">
        <v>332</v>
      </c>
      <c r="K8" s="407" t="s">
        <v>332</v>
      </c>
      <c r="L8" s="408" t="s">
        <v>332</v>
      </c>
      <c r="M8" s="408" t="s">
        <v>332</v>
      </c>
      <c r="N8" s="504" t="s">
        <v>332</v>
      </c>
      <c r="O8" s="407" t="s">
        <v>332</v>
      </c>
      <c r="P8" s="408" t="s">
        <v>332</v>
      </c>
      <c r="Q8" s="408" t="s">
        <v>332</v>
      </c>
      <c r="R8" s="504" t="s">
        <v>332</v>
      </c>
      <c r="S8" s="407" t="s">
        <v>332</v>
      </c>
      <c r="T8" s="408" t="s">
        <v>332</v>
      </c>
      <c r="U8" s="408" t="s">
        <v>332</v>
      </c>
      <c r="V8" s="504" t="s">
        <v>332</v>
      </c>
      <c r="W8" s="407" t="s">
        <v>332</v>
      </c>
      <c r="X8" s="408" t="s">
        <v>332</v>
      </c>
      <c r="Y8" s="408" t="s">
        <v>332</v>
      </c>
      <c r="Z8" s="504" t="s">
        <v>332</v>
      </c>
      <c r="AA8" s="407" t="s">
        <v>332</v>
      </c>
      <c r="AB8" s="408" t="s">
        <v>332</v>
      </c>
      <c r="AC8" s="408" t="s">
        <v>332</v>
      </c>
      <c r="AD8" s="504" t="s">
        <v>332</v>
      </c>
      <c r="AE8" s="407" t="s">
        <v>332</v>
      </c>
      <c r="AF8" s="408" t="s">
        <v>332</v>
      </c>
      <c r="AG8" s="408" t="s">
        <v>332</v>
      </c>
      <c r="AH8" s="408" t="s">
        <v>332</v>
      </c>
      <c r="AI8" s="407" t="s">
        <v>332</v>
      </c>
      <c r="AJ8" s="408" t="s">
        <v>332</v>
      </c>
      <c r="AK8" s="408" t="s">
        <v>332</v>
      </c>
      <c r="AL8" s="408" t="s">
        <v>332</v>
      </c>
      <c r="AM8" s="407" t="s">
        <v>332</v>
      </c>
      <c r="AN8" s="408" t="s">
        <v>332</v>
      </c>
      <c r="AO8" s="408" t="s">
        <v>332</v>
      </c>
      <c r="AP8" s="408" t="s">
        <v>332</v>
      </c>
      <c r="AQ8" s="407" t="s">
        <v>332</v>
      </c>
      <c r="AR8" s="408" t="s">
        <v>332</v>
      </c>
      <c r="AS8" s="408" t="s">
        <v>332</v>
      </c>
      <c r="AT8" s="408" t="s">
        <v>332</v>
      </c>
      <c r="AU8" s="407">
        <v>69.600000000000009</v>
      </c>
      <c r="AV8" s="408">
        <v>74.7</v>
      </c>
      <c r="AW8" s="408">
        <v>75.7</v>
      </c>
      <c r="AX8" s="408">
        <v>60.6</v>
      </c>
      <c r="AY8" s="407">
        <v>63.3</v>
      </c>
      <c r="AZ8" s="408">
        <v>64.3</v>
      </c>
      <c r="BA8" s="408">
        <v>66.400000000000006</v>
      </c>
      <c r="BB8" s="408">
        <v>66</v>
      </c>
      <c r="BC8" s="407">
        <v>59</v>
      </c>
      <c r="BD8" s="408">
        <v>97.3</v>
      </c>
      <c r="BE8" s="408">
        <v>113.3</v>
      </c>
      <c r="BF8" s="408">
        <v>110.7</v>
      </c>
    </row>
    <row r="9" spans="1:58" s="418" customFormat="1" ht="22.5">
      <c r="A9" s="411" t="s">
        <v>706</v>
      </c>
      <c r="B9" s="411" t="s">
        <v>549</v>
      </c>
      <c r="C9" s="526" t="s">
        <v>332</v>
      </c>
      <c r="D9" s="527" t="s">
        <v>332</v>
      </c>
      <c r="E9" s="527" t="s">
        <v>332</v>
      </c>
      <c r="F9" s="527" t="s">
        <v>332</v>
      </c>
      <c r="G9" s="407" t="s">
        <v>332</v>
      </c>
      <c r="H9" s="408" t="s">
        <v>332</v>
      </c>
      <c r="I9" s="408" t="s">
        <v>332</v>
      </c>
      <c r="J9" s="504" t="s">
        <v>332</v>
      </c>
      <c r="K9" s="407" t="s">
        <v>332</v>
      </c>
      <c r="L9" s="408" t="s">
        <v>332</v>
      </c>
      <c r="M9" s="408" t="s">
        <v>332</v>
      </c>
      <c r="N9" s="504" t="s">
        <v>332</v>
      </c>
      <c r="O9" s="407" t="s">
        <v>332</v>
      </c>
      <c r="P9" s="408" t="s">
        <v>332</v>
      </c>
      <c r="Q9" s="408" t="s">
        <v>332</v>
      </c>
      <c r="R9" s="504" t="s">
        <v>332</v>
      </c>
      <c r="S9" s="407" t="s">
        <v>332</v>
      </c>
      <c r="T9" s="408" t="s">
        <v>332</v>
      </c>
      <c r="U9" s="408" t="s">
        <v>332</v>
      </c>
      <c r="V9" s="504" t="s">
        <v>332</v>
      </c>
      <c r="W9" s="407" t="s">
        <v>332</v>
      </c>
      <c r="X9" s="408" t="s">
        <v>332</v>
      </c>
      <c r="Y9" s="408" t="s">
        <v>332</v>
      </c>
      <c r="Z9" s="504" t="s">
        <v>332</v>
      </c>
      <c r="AA9" s="407" t="s">
        <v>332</v>
      </c>
      <c r="AB9" s="408" t="s">
        <v>332</v>
      </c>
      <c r="AC9" s="408" t="s">
        <v>332</v>
      </c>
      <c r="AD9" s="504" t="s">
        <v>332</v>
      </c>
      <c r="AE9" s="407" t="s">
        <v>332</v>
      </c>
      <c r="AF9" s="408" t="s">
        <v>332</v>
      </c>
      <c r="AG9" s="408" t="s">
        <v>332</v>
      </c>
      <c r="AH9" s="504" t="s">
        <v>332</v>
      </c>
      <c r="AI9" s="407" t="s">
        <v>332</v>
      </c>
      <c r="AJ9" s="408" t="s">
        <v>332</v>
      </c>
      <c r="AK9" s="408" t="s">
        <v>332</v>
      </c>
      <c r="AL9" s="408" t="s">
        <v>332</v>
      </c>
      <c r="AM9" s="407" t="s">
        <v>332</v>
      </c>
      <c r="AN9" s="408" t="s">
        <v>332</v>
      </c>
      <c r="AO9" s="408" t="s">
        <v>332</v>
      </c>
      <c r="AP9" s="408" t="s">
        <v>332</v>
      </c>
      <c r="AQ9" s="405" t="s">
        <v>332</v>
      </c>
      <c r="AR9" s="406" t="s">
        <v>332</v>
      </c>
      <c r="AS9" s="406" t="s">
        <v>332</v>
      </c>
      <c r="AT9" s="406" t="s">
        <v>332</v>
      </c>
      <c r="AU9" s="407">
        <v>99.2</v>
      </c>
      <c r="AV9" s="408">
        <v>99.5</v>
      </c>
      <c r="AW9" s="408">
        <v>97</v>
      </c>
      <c r="AX9" s="408">
        <v>100.1</v>
      </c>
      <c r="AY9" s="407">
        <v>106.2</v>
      </c>
      <c r="AZ9" s="408">
        <v>102.5</v>
      </c>
      <c r="BA9" s="408">
        <v>110.6</v>
      </c>
      <c r="BB9" s="408">
        <v>114.8</v>
      </c>
      <c r="BC9" s="407">
        <v>116.4</v>
      </c>
      <c r="BD9" s="408">
        <v>108.8</v>
      </c>
      <c r="BE9" s="408">
        <v>71.3</v>
      </c>
      <c r="BF9" s="408">
        <v>45.4</v>
      </c>
    </row>
    <row r="10" spans="1:58" s="418" customFormat="1" ht="11.25">
      <c r="A10" s="421" t="s">
        <v>705</v>
      </c>
      <c r="B10" s="421" t="s">
        <v>552</v>
      </c>
      <c r="C10" s="526"/>
      <c r="D10" s="527"/>
      <c r="E10" s="527"/>
      <c r="F10" s="527"/>
      <c r="G10" s="407"/>
      <c r="H10" s="408"/>
      <c r="I10" s="408"/>
      <c r="J10" s="504"/>
      <c r="K10" s="407"/>
      <c r="L10" s="408"/>
      <c r="M10" s="408"/>
      <c r="N10" s="504"/>
      <c r="O10" s="407"/>
      <c r="P10" s="408"/>
      <c r="Q10" s="408"/>
      <c r="R10" s="504"/>
      <c r="S10" s="407"/>
      <c r="T10" s="408"/>
      <c r="U10" s="408"/>
      <c r="V10" s="504"/>
      <c r="W10" s="407"/>
      <c r="X10" s="408"/>
      <c r="Y10" s="408"/>
      <c r="Z10" s="504"/>
      <c r="AA10" s="407"/>
      <c r="AB10" s="408"/>
      <c r="AC10" s="408"/>
      <c r="AD10" s="504"/>
      <c r="AE10" s="407"/>
      <c r="AF10" s="408"/>
      <c r="AG10" s="408"/>
      <c r="AH10" s="504"/>
      <c r="AI10" s="407"/>
      <c r="AJ10" s="408"/>
      <c r="AK10" s="408"/>
      <c r="AL10" s="408"/>
      <c r="AM10" s="407"/>
      <c r="AN10" s="408"/>
      <c r="AO10" s="408"/>
      <c r="AP10" s="408"/>
      <c r="AQ10" s="405"/>
      <c r="AR10" s="406"/>
      <c r="AS10" s="406"/>
      <c r="AT10" s="406"/>
      <c r="AU10" s="405">
        <f>SUM(AU12:AU13,AU15,AU16,AU17,AU11,AU14)</f>
        <v>1.3</v>
      </c>
      <c r="AV10" s="406">
        <f>SUM(AV11:AV17)</f>
        <v>1.4</v>
      </c>
      <c r="AW10" s="406">
        <f>SUM(AW11:AW17)</f>
        <v>1.3</v>
      </c>
      <c r="AX10" s="406">
        <f>SUM(AX11:AX17)</f>
        <v>1.3</v>
      </c>
      <c r="AY10" s="405">
        <f t="shared" ref="AY10:BF10" si="4">SUM(AY12:AY13,AY15,AY16,AY17,AY11,AY14)</f>
        <v>1.1000000000000001</v>
      </c>
      <c r="AZ10" s="406">
        <f t="shared" si="4"/>
        <v>1.1000000000000001</v>
      </c>
      <c r="BA10" s="406">
        <f t="shared" si="4"/>
        <v>1</v>
      </c>
      <c r="BB10" s="406">
        <f t="shared" si="4"/>
        <v>0.9</v>
      </c>
      <c r="BC10" s="405">
        <f t="shared" si="4"/>
        <v>0.8</v>
      </c>
      <c r="BD10" s="406">
        <f t="shared" si="4"/>
        <v>0.7</v>
      </c>
      <c r="BE10" s="406">
        <f t="shared" si="4"/>
        <v>0.7</v>
      </c>
      <c r="BF10" s="406">
        <f t="shared" si="4"/>
        <v>0.6</v>
      </c>
    </row>
    <row r="11" spans="1:58" s="418" customFormat="1" ht="22.5">
      <c r="A11" s="411" t="s">
        <v>904</v>
      </c>
      <c r="B11" s="411" t="s">
        <v>548</v>
      </c>
      <c r="C11" s="528" t="s">
        <v>332</v>
      </c>
      <c r="D11" s="529" t="s">
        <v>332</v>
      </c>
      <c r="E11" s="527" t="s">
        <v>332</v>
      </c>
      <c r="F11" s="527" t="s">
        <v>332</v>
      </c>
      <c r="G11" s="407" t="s">
        <v>332</v>
      </c>
      <c r="H11" s="408" t="s">
        <v>332</v>
      </c>
      <c r="I11" s="408" t="s">
        <v>332</v>
      </c>
      <c r="J11" s="504" t="s">
        <v>332</v>
      </c>
      <c r="K11" s="407" t="s">
        <v>332</v>
      </c>
      <c r="L11" s="408" t="s">
        <v>332</v>
      </c>
      <c r="M11" s="408" t="s">
        <v>332</v>
      </c>
      <c r="N11" s="504" t="s">
        <v>332</v>
      </c>
      <c r="O11" s="407" t="s">
        <v>332</v>
      </c>
      <c r="P11" s="408" t="s">
        <v>332</v>
      </c>
      <c r="Q11" s="408" t="s">
        <v>332</v>
      </c>
      <c r="R11" s="504" t="s">
        <v>332</v>
      </c>
      <c r="S11" s="407" t="s">
        <v>332</v>
      </c>
      <c r="T11" s="408" t="s">
        <v>332</v>
      </c>
      <c r="U11" s="408" t="s">
        <v>332</v>
      </c>
      <c r="V11" s="504" t="s">
        <v>332</v>
      </c>
      <c r="W11" s="407" t="s">
        <v>332</v>
      </c>
      <c r="X11" s="408" t="s">
        <v>332</v>
      </c>
      <c r="Y11" s="408" t="s">
        <v>332</v>
      </c>
      <c r="Z11" s="504" t="s">
        <v>332</v>
      </c>
      <c r="AA11" s="407" t="s">
        <v>332</v>
      </c>
      <c r="AB11" s="408" t="s">
        <v>332</v>
      </c>
      <c r="AC11" s="408" t="s">
        <v>332</v>
      </c>
      <c r="AD11" s="504" t="s">
        <v>332</v>
      </c>
      <c r="AE11" s="407" t="s">
        <v>332</v>
      </c>
      <c r="AF11" s="408" t="s">
        <v>332</v>
      </c>
      <c r="AG11" s="408" t="s">
        <v>332</v>
      </c>
      <c r="AH11" s="504" t="s">
        <v>332</v>
      </c>
      <c r="AI11" s="407" t="s">
        <v>332</v>
      </c>
      <c r="AJ11" s="408" t="s">
        <v>332</v>
      </c>
      <c r="AK11" s="408" t="s">
        <v>332</v>
      </c>
      <c r="AL11" s="408" t="s">
        <v>332</v>
      </c>
      <c r="AM11" s="407" t="s">
        <v>332</v>
      </c>
      <c r="AN11" s="408" t="s">
        <v>332</v>
      </c>
      <c r="AO11" s="408" t="s">
        <v>332</v>
      </c>
      <c r="AP11" s="408" t="s">
        <v>332</v>
      </c>
      <c r="AQ11" s="405" t="s">
        <v>332</v>
      </c>
      <c r="AR11" s="406" t="s">
        <v>332</v>
      </c>
      <c r="AS11" s="406" t="s">
        <v>332</v>
      </c>
      <c r="AT11" s="406" t="s">
        <v>332</v>
      </c>
      <c r="AU11" s="407">
        <v>1.3</v>
      </c>
      <c r="AV11" s="408">
        <v>1.4</v>
      </c>
      <c r="AW11" s="408">
        <v>1.3</v>
      </c>
      <c r="AX11" s="408">
        <v>1.3</v>
      </c>
      <c r="AY11" s="407">
        <v>1.1000000000000001</v>
      </c>
      <c r="AZ11" s="408">
        <v>1.1000000000000001</v>
      </c>
      <c r="BA11" s="408">
        <v>1</v>
      </c>
      <c r="BB11" s="408">
        <v>0.9</v>
      </c>
      <c r="BC11" s="407">
        <v>0.8</v>
      </c>
      <c r="BD11" s="408">
        <v>0.7</v>
      </c>
      <c r="BE11" s="408">
        <v>0.7</v>
      </c>
      <c r="BF11" s="408">
        <v>0.6</v>
      </c>
    </row>
    <row r="12" spans="1:58" s="428" customFormat="1" ht="11.25">
      <c r="A12" s="411" t="s">
        <v>707</v>
      </c>
      <c r="B12" s="411" t="s">
        <v>413</v>
      </c>
      <c r="C12" s="655">
        <v>191.5</v>
      </c>
      <c r="D12" s="658">
        <v>161.30000000000001</v>
      </c>
      <c r="E12" s="658">
        <v>150.5</v>
      </c>
      <c r="F12" s="661">
        <v>179.4</v>
      </c>
      <c r="G12" s="407">
        <v>99.01</v>
      </c>
      <c r="H12" s="408">
        <v>121.18999999999998</v>
      </c>
      <c r="I12" s="408">
        <v>193.3</v>
      </c>
      <c r="J12" s="504">
        <v>187.06600000000003</v>
      </c>
      <c r="K12" s="407">
        <v>140.60000000000002</v>
      </c>
      <c r="L12" s="408">
        <v>131.19999999999999</v>
      </c>
      <c r="M12" s="408">
        <v>64.600000000000009</v>
      </c>
      <c r="N12" s="504">
        <v>81.400000000000006</v>
      </c>
      <c r="O12" s="407">
        <v>85.6</v>
      </c>
      <c r="P12" s="408">
        <f>169.2-12.6</f>
        <v>156.6</v>
      </c>
      <c r="Q12" s="408">
        <v>135</v>
      </c>
      <c r="R12" s="504">
        <v>145.30000000000001</v>
      </c>
      <c r="S12" s="407">
        <v>171.9</v>
      </c>
      <c r="T12" s="408">
        <v>184.1</v>
      </c>
      <c r="U12" s="408">
        <v>170.60000000000002</v>
      </c>
      <c r="V12" s="504">
        <v>127.29999999999995</v>
      </c>
      <c r="W12" s="407">
        <v>118.5</v>
      </c>
      <c r="X12" s="408">
        <v>116.4</v>
      </c>
      <c r="Y12" s="408">
        <f>126.1+0.1</f>
        <v>126.19999999999999</v>
      </c>
      <c r="Z12" s="504">
        <v>180.9</v>
      </c>
      <c r="AA12" s="407">
        <v>191</v>
      </c>
      <c r="AB12" s="408">
        <v>190.5</v>
      </c>
      <c r="AC12" s="408">
        <v>182.8</v>
      </c>
      <c r="AD12" s="504">
        <v>171.9</v>
      </c>
      <c r="AE12" s="407">
        <v>178.4</v>
      </c>
      <c r="AF12" s="408">
        <v>188.7</v>
      </c>
      <c r="AG12" s="408">
        <v>193.7</v>
      </c>
      <c r="AH12" s="504">
        <v>187.9</v>
      </c>
      <c r="AI12" s="407">
        <v>157.69999999999999</v>
      </c>
      <c r="AJ12" s="408">
        <v>140.5</v>
      </c>
      <c r="AK12" s="408">
        <v>138.6</v>
      </c>
      <c r="AL12" s="408">
        <v>125.9</v>
      </c>
      <c r="AM12" s="407">
        <v>124.2</v>
      </c>
      <c r="AN12" s="408">
        <v>124.4</v>
      </c>
      <c r="AO12" s="408">
        <v>134.69999999999999</v>
      </c>
      <c r="AP12" s="408">
        <v>127.1</v>
      </c>
      <c r="AQ12" s="407">
        <v>121.2</v>
      </c>
      <c r="AR12" s="408">
        <v>108.3</v>
      </c>
      <c r="AS12" s="408">
        <v>103.4</v>
      </c>
      <c r="AT12" s="408">
        <v>103.8</v>
      </c>
      <c r="AU12" s="407" t="s">
        <v>700</v>
      </c>
      <c r="AV12" s="408" t="s">
        <v>332</v>
      </c>
      <c r="AW12" s="408" t="s">
        <v>332</v>
      </c>
      <c r="AX12" s="408" t="s">
        <v>332</v>
      </c>
      <c r="AY12" s="407" t="s">
        <v>700</v>
      </c>
      <c r="AZ12" s="408" t="s">
        <v>700</v>
      </c>
      <c r="BA12" s="408" t="s">
        <v>700</v>
      </c>
      <c r="BB12" s="408" t="s">
        <v>700</v>
      </c>
      <c r="BC12" s="407" t="s">
        <v>700</v>
      </c>
      <c r="BD12" s="408" t="s">
        <v>700</v>
      </c>
      <c r="BE12" s="408" t="s">
        <v>700</v>
      </c>
      <c r="BF12" s="408" t="s">
        <v>700</v>
      </c>
    </row>
    <row r="13" spans="1:58" s="428" customFormat="1" ht="11.25">
      <c r="A13" s="411" t="s">
        <v>708</v>
      </c>
      <c r="B13" s="411" t="s">
        <v>414</v>
      </c>
      <c r="C13" s="656"/>
      <c r="D13" s="659"/>
      <c r="E13" s="659"/>
      <c r="F13" s="662"/>
      <c r="G13" s="407">
        <v>53.020022580000003</v>
      </c>
      <c r="H13" s="408">
        <v>57.328109420000004</v>
      </c>
      <c r="I13" s="408">
        <v>59.351867999999982</v>
      </c>
      <c r="J13" s="504">
        <v>61.206000000000017</v>
      </c>
      <c r="K13" s="407">
        <f>96-0.1</f>
        <v>95.9</v>
      </c>
      <c r="L13" s="408">
        <v>73.8</v>
      </c>
      <c r="M13" s="408">
        <v>97.2</v>
      </c>
      <c r="N13" s="504">
        <v>65.900000000000006</v>
      </c>
      <c r="O13" s="407">
        <v>59.8</v>
      </c>
      <c r="P13" s="408">
        <v>-9</v>
      </c>
      <c r="Q13" s="408">
        <v>11.2</v>
      </c>
      <c r="R13" s="504">
        <v>12.6</v>
      </c>
      <c r="S13" s="407">
        <v>3.8000000000000007</v>
      </c>
      <c r="T13" s="408">
        <v>6.6999999999999993</v>
      </c>
      <c r="U13" s="408">
        <v>3.4000000000000004</v>
      </c>
      <c r="V13" s="504">
        <v>4.4999999999999982</v>
      </c>
      <c r="W13" s="407">
        <v>4.5999999999999996</v>
      </c>
      <c r="X13" s="408">
        <v>3.1</v>
      </c>
      <c r="Y13" s="408">
        <f>3.8-0.2</f>
        <v>3.5999999999999996</v>
      </c>
      <c r="Z13" s="504">
        <v>2.7</v>
      </c>
      <c r="AA13" s="407">
        <v>5.4</v>
      </c>
      <c r="AB13" s="408">
        <v>7.1</v>
      </c>
      <c r="AC13" s="408">
        <v>7.9</v>
      </c>
      <c r="AD13" s="504">
        <v>6.4</v>
      </c>
      <c r="AE13" s="407">
        <v>9</v>
      </c>
      <c r="AF13" s="408">
        <v>7.8</v>
      </c>
      <c r="AG13" s="408">
        <v>3.2</v>
      </c>
      <c r="AH13" s="504">
        <v>3.2</v>
      </c>
      <c r="AI13" s="407">
        <v>6.7</v>
      </c>
      <c r="AJ13" s="408">
        <v>7.6</v>
      </c>
      <c r="AK13" s="408">
        <v>6.1</v>
      </c>
      <c r="AL13" s="408">
        <v>4.9000000000000004</v>
      </c>
      <c r="AM13" s="407">
        <v>4.2</v>
      </c>
      <c r="AN13" s="408">
        <v>4.2</v>
      </c>
      <c r="AO13" s="408">
        <v>4</v>
      </c>
      <c r="AP13" s="408">
        <v>5.0999999999999996</v>
      </c>
      <c r="AQ13" s="407">
        <v>0</v>
      </c>
      <c r="AR13" s="408">
        <v>0</v>
      </c>
      <c r="AS13" s="408">
        <v>0</v>
      </c>
      <c r="AT13" s="408">
        <v>0</v>
      </c>
      <c r="AU13" s="407" t="s">
        <v>332</v>
      </c>
      <c r="AV13" s="408" t="s">
        <v>332</v>
      </c>
      <c r="AW13" s="408" t="s">
        <v>332</v>
      </c>
      <c r="AX13" s="408" t="s">
        <v>332</v>
      </c>
      <c r="AY13" s="407" t="s">
        <v>332</v>
      </c>
      <c r="AZ13" s="408" t="s">
        <v>332</v>
      </c>
      <c r="BA13" s="408" t="s">
        <v>332</v>
      </c>
      <c r="BB13" s="408" t="s">
        <v>332</v>
      </c>
      <c r="BC13" s="407" t="s">
        <v>332</v>
      </c>
      <c r="BD13" s="408" t="s">
        <v>332</v>
      </c>
      <c r="BE13" s="408" t="s">
        <v>332</v>
      </c>
      <c r="BF13" s="408" t="s">
        <v>332</v>
      </c>
    </row>
    <row r="14" spans="1:58" s="428" customFormat="1" ht="22.5">
      <c r="A14" s="411" t="s">
        <v>709</v>
      </c>
      <c r="B14" s="411" t="s">
        <v>415</v>
      </c>
      <c r="C14" s="656"/>
      <c r="D14" s="659"/>
      <c r="E14" s="659"/>
      <c r="F14" s="662"/>
      <c r="G14" s="407">
        <v>21.783115200000001</v>
      </c>
      <c r="H14" s="408">
        <v>86.900599490000005</v>
      </c>
      <c r="I14" s="408">
        <v>103.23416106000001</v>
      </c>
      <c r="J14" s="504">
        <v>108.94612424999997</v>
      </c>
      <c r="K14" s="407">
        <v>108</v>
      </c>
      <c r="L14" s="408">
        <v>108.3</v>
      </c>
      <c r="M14" s="408">
        <v>109.3</v>
      </c>
      <c r="N14" s="504">
        <v>109.3</v>
      </c>
      <c r="O14" s="407">
        <v>106.9</v>
      </c>
      <c r="P14" s="408">
        <v>99.2</v>
      </c>
      <c r="Q14" s="408">
        <v>95.7</v>
      </c>
      <c r="R14" s="504">
        <v>94.1</v>
      </c>
      <c r="S14" s="407">
        <v>89.3</v>
      </c>
      <c r="T14" s="408">
        <v>78.899999999999991</v>
      </c>
      <c r="U14" s="408">
        <v>71.700000000000017</v>
      </c>
      <c r="V14" s="504">
        <v>72.999999999999972</v>
      </c>
      <c r="W14" s="407">
        <v>72.599999999999994</v>
      </c>
      <c r="X14" s="408">
        <v>56.8</v>
      </c>
      <c r="Y14" s="408">
        <v>35.099999999999994</v>
      </c>
      <c r="Z14" s="504">
        <v>0</v>
      </c>
      <c r="AA14" s="407">
        <v>0</v>
      </c>
      <c r="AB14" s="408">
        <v>0</v>
      </c>
      <c r="AC14" s="408">
        <v>0</v>
      </c>
      <c r="AD14" s="504">
        <v>0</v>
      </c>
      <c r="AE14" s="407">
        <v>0</v>
      </c>
      <c r="AF14" s="408">
        <v>0</v>
      </c>
      <c r="AG14" s="408">
        <v>0</v>
      </c>
      <c r="AH14" s="504">
        <v>0</v>
      </c>
      <c r="AI14" s="407">
        <v>11</v>
      </c>
      <c r="AJ14" s="408">
        <v>20.399999999999999</v>
      </c>
      <c r="AK14" s="408">
        <v>21.4</v>
      </c>
      <c r="AL14" s="408">
        <v>25.5</v>
      </c>
      <c r="AM14" s="407">
        <v>27.6</v>
      </c>
      <c r="AN14" s="408">
        <v>29.8</v>
      </c>
      <c r="AO14" s="408">
        <v>37.6</v>
      </c>
      <c r="AP14" s="408">
        <v>38.299999999999997</v>
      </c>
      <c r="AQ14" s="407">
        <v>44.3</v>
      </c>
      <c r="AR14" s="408">
        <v>52.1</v>
      </c>
      <c r="AS14" s="408">
        <v>55.7</v>
      </c>
      <c r="AT14" s="408">
        <v>55.400000000000006</v>
      </c>
      <c r="AU14" s="407" t="s">
        <v>700</v>
      </c>
      <c r="AV14" s="408" t="s">
        <v>332</v>
      </c>
      <c r="AW14" s="408" t="s">
        <v>332</v>
      </c>
      <c r="AX14" s="408" t="s">
        <v>332</v>
      </c>
      <c r="AY14" s="407" t="s">
        <v>700</v>
      </c>
      <c r="AZ14" s="408" t="s">
        <v>700</v>
      </c>
      <c r="BA14" s="408" t="s">
        <v>700</v>
      </c>
      <c r="BB14" s="408" t="s">
        <v>700</v>
      </c>
      <c r="BC14" s="407" t="s">
        <v>700</v>
      </c>
      <c r="BD14" s="408" t="s">
        <v>700</v>
      </c>
      <c r="BE14" s="408" t="s">
        <v>700</v>
      </c>
      <c r="BF14" s="408" t="s">
        <v>700</v>
      </c>
    </row>
    <row r="15" spans="1:58" s="428" customFormat="1" ht="22.5">
      <c r="A15" s="411" t="s">
        <v>710</v>
      </c>
      <c r="B15" s="411" t="s">
        <v>416</v>
      </c>
      <c r="C15" s="657"/>
      <c r="D15" s="660"/>
      <c r="E15" s="660"/>
      <c r="F15" s="663"/>
      <c r="G15" s="407">
        <v>36.089889790000001</v>
      </c>
      <c r="H15" s="408">
        <v>33.973921469999993</v>
      </c>
      <c r="I15" s="408">
        <v>-13.281362729999991</v>
      </c>
      <c r="J15" s="504">
        <v>21.481551469999992</v>
      </c>
      <c r="K15" s="407">
        <v>6.6</v>
      </c>
      <c r="L15" s="408">
        <v>3.2</v>
      </c>
      <c r="M15" s="408">
        <v>3.2</v>
      </c>
      <c r="N15" s="504">
        <v>3.2</v>
      </c>
      <c r="O15" s="407">
        <v>3.1</v>
      </c>
      <c r="P15" s="408">
        <v>3.1</v>
      </c>
      <c r="Q15" s="408">
        <v>3.2</v>
      </c>
      <c r="R15" s="504">
        <v>2.2000000000000002</v>
      </c>
      <c r="S15" s="407">
        <v>0.8</v>
      </c>
      <c r="T15" s="408">
        <v>0.89999999999999991</v>
      </c>
      <c r="U15" s="408">
        <v>0</v>
      </c>
      <c r="V15" s="504">
        <v>0</v>
      </c>
      <c r="W15" s="407">
        <v>3.6</v>
      </c>
      <c r="X15" s="408">
        <v>2.7</v>
      </c>
      <c r="Y15" s="408">
        <v>0</v>
      </c>
      <c r="Z15" s="504">
        <v>0</v>
      </c>
      <c r="AA15" s="407">
        <v>0</v>
      </c>
      <c r="AB15" s="408">
        <v>0</v>
      </c>
      <c r="AC15" s="408">
        <v>0</v>
      </c>
      <c r="AD15" s="504">
        <v>0</v>
      </c>
      <c r="AE15" s="407">
        <v>0</v>
      </c>
      <c r="AF15" s="408">
        <v>0</v>
      </c>
      <c r="AG15" s="408">
        <v>0</v>
      </c>
      <c r="AH15" s="504">
        <v>0</v>
      </c>
      <c r="AI15" s="407">
        <v>0</v>
      </c>
      <c r="AJ15" s="408">
        <v>0</v>
      </c>
      <c r="AK15" s="408">
        <v>0</v>
      </c>
      <c r="AL15" s="408">
        <v>0</v>
      </c>
      <c r="AM15" s="407">
        <v>0</v>
      </c>
      <c r="AN15" s="408">
        <v>0</v>
      </c>
      <c r="AO15" s="408">
        <v>0</v>
      </c>
      <c r="AP15" s="408">
        <v>0</v>
      </c>
      <c r="AQ15" s="407">
        <v>0</v>
      </c>
      <c r="AR15" s="408">
        <v>0</v>
      </c>
      <c r="AS15" s="408">
        <v>0</v>
      </c>
      <c r="AT15" s="408">
        <v>0</v>
      </c>
      <c r="AU15" s="407" t="s">
        <v>332</v>
      </c>
      <c r="AV15" s="408" t="s">
        <v>332</v>
      </c>
      <c r="AW15" s="408" t="s">
        <v>332</v>
      </c>
      <c r="AX15" s="408" t="s">
        <v>332</v>
      </c>
      <c r="AY15" s="407" t="s">
        <v>332</v>
      </c>
      <c r="AZ15" s="408" t="s">
        <v>332</v>
      </c>
      <c r="BA15" s="408" t="s">
        <v>332</v>
      </c>
      <c r="BB15" s="408" t="s">
        <v>332</v>
      </c>
      <c r="BC15" s="407" t="s">
        <v>332</v>
      </c>
      <c r="BD15" s="408" t="s">
        <v>332</v>
      </c>
      <c r="BE15" s="408" t="s">
        <v>332</v>
      </c>
      <c r="BF15" s="408" t="s">
        <v>332</v>
      </c>
    </row>
    <row r="16" spans="1:58" s="424" customFormat="1" ht="11.25">
      <c r="A16" s="412" t="s">
        <v>711</v>
      </c>
      <c r="B16" s="412" t="s">
        <v>40</v>
      </c>
      <c r="C16" s="407">
        <v>-25</v>
      </c>
      <c r="D16" s="408">
        <v>-11.1</v>
      </c>
      <c r="E16" s="408">
        <v>-6.7</v>
      </c>
      <c r="F16" s="408">
        <v>-3.7</v>
      </c>
      <c r="G16" s="407">
        <v>20.8</v>
      </c>
      <c r="H16" s="408">
        <v>26.6</v>
      </c>
      <c r="I16" s="408">
        <v>20.3</v>
      </c>
      <c r="J16" s="504">
        <v>26.2</v>
      </c>
      <c r="K16" s="407">
        <v>19.7</v>
      </c>
      <c r="L16" s="408">
        <v>-1.5</v>
      </c>
      <c r="M16" s="408">
        <v>14.6</v>
      </c>
      <c r="N16" s="504">
        <v>14.8</v>
      </c>
      <c r="O16" s="407">
        <v>23</v>
      </c>
      <c r="P16" s="408">
        <v>11.9</v>
      </c>
      <c r="Q16" s="408">
        <v>18.8</v>
      </c>
      <c r="R16" s="504">
        <v>-5.4</v>
      </c>
      <c r="S16" s="407">
        <v>-16.600000000000001</v>
      </c>
      <c r="T16" s="408">
        <v>-13.4</v>
      </c>
      <c r="U16" s="408">
        <v>-1.9</v>
      </c>
      <c r="V16" s="504">
        <v>15.2</v>
      </c>
      <c r="W16" s="407">
        <v>11.3</v>
      </c>
      <c r="X16" s="408">
        <v>2.2000000000000002</v>
      </c>
      <c r="Y16" s="408">
        <v>18.7</v>
      </c>
      <c r="Z16" s="504">
        <v>17.600000000000001</v>
      </c>
      <c r="AA16" s="407">
        <v>15.6</v>
      </c>
      <c r="AB16" s="408">
        <v>2.4</v>
      </c>
      <c r="AC16" s="408">
        <v>12.8</v>
      </c>
      <c r="AD16" s="504">
        <v>10.3</v>
      </c>
      <c r="AE16" s="407">
        <v>9.6</v>
      </c>
      <c r="AF16" s="408">
        <v>9</v>
      </c>
      <c r="AG16" s="408">
        <v>11.2</v>
      </c>
      <c r="AH16" s="504">
        <v>7.9</v>
      </c>
      <c r="AI16" s="407">
        <v>8</v>
      </c>
      <c r="AJ16" s="408">
        <v>3</v>
      </c>
      <c r="AK16" s="408">
        <v>7.3</v>
      </c>
      <c r="AL16" s="408">
        <v>14</v>
      </c>
      <c r="AM16" s="407">
        <v>20.100000000000001</v>
      </c>
      <c r="AN16" s="408">
        <v>24.2</v>
      </c>
      <c r="AO16" s="408">
        <v>19</v>
      </c>
      <c r="AP16" s="408">
        <v>12.3</v>
      </c>
      <c r="AQ16" s="407">
        <v>0</v>
      </c>
      <c r="AR16" s="408">
        <v>0</v>
      </c>
      <c r="AS16" s="408">
        <v>0</v>
      </c>
      <c r="AT16" s="408">
        <v>0</v>
      </c>
      <c r="AU16" s="407" t="s">
        <v>332</v>
      </c>
      <c r="AV16" s="408" t="s">
        <v>332</v>
      </c>
      <c r="AW16" s="408" t="s">
        <v>332</v>
      </c>
      <c r="AX16" s="408" t="s">
        <v>332</v>
      </c>
      <c r="AY16" s="407" t="s">
        <v>332</v>
      </c>
      <c r="AZ16" s="408" t="s">
        <v>332</v>
      </c>
      <c r="BA16" s="408" t="s">
        <v>332</v>
      </c>
      <c r="BB16" s="408" t="s">
        <v>332</v>
      </c>
      <c r="BC16" s="407" t="s">
        <v>332</v>
      </c>
      <c r="BD16" s="408" t="s">
        <v>332</v>
      </c>
      <c r="BE16" s="408" t="s">
        <v>332</v>
      </c>
      <c r="BF16" s="408" t="s">
        <v>332</v>
      </c>
    </row>
    <row r="17" spans="1:58" s="424" customFormat="1" ht="11.25">
      <c r="A17" s="508" t="s">
        <v>452</v>
      </c>
      <c r="B17" s="508" t="s">
        <v>41</v>
      </c>
      <c r="C17" s="407">
        <f>-0.1+0.1</f>
        <v>0</v>
      </c>
      <c r="D17" s="408">
        <f>0.2-0.2</f>
        <v>0</v>
      </c>
      <c r="E17" s="408">
        <f>-0.6+0.6</f>
        <v>0</v>
      </c>
      <c r="F17" s="408">
        <v>0</v>
      </c>
      <c r="G17" s="407">
        <f>0.5-0.5</f>
        <v>0</v>
      </c>
      <c r="H17" s="408">
        <f>0.4-0.4</f>
        <v>0</v>
      </c>
      <c r="I17" s="408">
        <f>0.3-0.3</f>
        <v>0</v>
      </c>
      <c r="J17" s="504">
        <f>0.4-0.4</f>
        <v>0</v>
      </c>
      <c r="K17" s="407">
        <f>0.1-0.1</f>
        <v>0</v>
      </c>
      <c r="L17" s="408">
        <f>0.1-0.1</f>
        <v>0</v>
      </c>
      <c r="M17" s="408">
        <f>0.1-0.1</f>
        <v>0</v>
      </c>
      <c r="N17" s="504">
        <v>0</v>
      </c>
      <c r="O17" s="407">
        <f>0.1-0.1</f>
        <v>0</v>
      </c>
      <c r="P17" s="408">
        <f>0.1-0.1</f>
        <v>0</v>
      </c>
      <c r="Q17" s="408">
        <v>0</v>
      </c>
      <c r="R17" s="504">
        <f>0.1-0.1</f>
        <v>0</v>
      </c>
      <c r="S17" s="407">
        <f>0.2-0.2</f>
        <v>0</v>
      </c>
      <c r="T17" s="408">
        <f>0.1-0.1</f>
        <v>0</v>
      </c>
      <c r="U17" s="408">
        <f>0.1-0.1</f>
        <v>0</v>
      </c>
      <c r="V17" s="504">
        <f>0.1-0.1</f>
        <v>0</v>
      </c>
      <c r="W17" s="407">
        <f>0.4-0.4</f>
        <v>0</v>
      </c>
      <c r="X17" s="408">
        <f>1.1-1.1</f>
        <v>0</v>
      </c>
      <c r="Y17" s="408">
        <v>0</v>
      </c>
      <c r="Z17" s="504">
        <v>0</v>
      </c>
      <c r="AA17" s="407">
        <v>0</v>
      </c>
      <c r="AB17" s="408">
        <v>0</v>
      </c>
      <c r="AC17" s="408">
        <v>0</v>
      </c>
      <c r="AD17" s="504">
        <v>0</v>
      </c>
      <c r="AE17" s="407">
        <v>0</v>
      </c>
      <c r="AF17" s="408">
        <v>0</v>
      </c>
      <c r="AG17" s="408">
        <v>0</v>
      </c>
      <c r="AH17" s="504">
        <v>0</v>
      </c>
      <c r="AI17" s="407">
        <v>0</v>
      </c>
      <c r="AJ17" s="408">
        <v>0</v>
      </c>
      <c r="AK17" s="408">
        <v>0</v>
      </c>
      <c r="AL17" s="408">
        <v>0</v>
      </c>
      <c r="AM17" s="407">
        <v>0</v>
      </c>
      <c r="AN17" s="408">
        <v>0</v>
      </c>
      <c r="AO17" s="408">
        <v>0</v>
      </c>
      <c r="AP17" s="408">
        <v>0</v>
      </c>
      <c r="AQ17" s="407">
        <v>0</v>
      </c>
      <c r="AR17" s="408">
        <v>0</v>
      </c>
      <c r="AS17" s="408">
        <v>0</v>
      </c>
      <c r="AT17" s="408">
        <v>0</v>
      </c>
      <c r="AU17" s="407" t="s">
        <v>332</v>
      </c>
      <c r="AV17" s="408" t="s">
        <v>332</v>
      </c>
      <c r="AW17" s="408" t="s">
        <v>332</v>
      </c>
      <c r="AX17" s="408" t="s">
        <v>332</v>
      </c>
      <c r="AY17" s="407" t="s">
        <v>332</v>
      </c>
      <c r="AZ17" s="408" t="s">
        <v>332</v>
      </c>
      <c r="BA17" s="408" t="s">
        <v>332</v>
      </c>
      <c r="BB17" s="408" t="s">
        <v>332</v>
      </c>
      <c r="BC17" s="407" t="s">
        <v>332</v>
      </c>
      <c r="BD17" s="408" t="s">
        <v>332</v>
      </c>
      <c r="BE17" s="408" t="s">
        <v>332</v>
      </c>
      <c r="BF17" s="408" t="s">
        <v>332</v>
      </c>
    </row>
    <row r="18" spans="1:58" s="424" customFormat="1" ht="11.25">
      <c r="A18" s="525" t="s">
        <v>209</v>
      </c>
      <c r="B18" s="525" t="s">
        <v>39</v>
      </c>
      <c r="C18" s="406">
        <f t="shared" ref="C18:AS18" si="5">SUM(C6:C7,C12:C17)</f>
        <v>556</v>
      </c>
      <c r="D18" s="406">
        <f t="shared" si="5"/>
        <v>585.99999999999989</v>
      </c>
      <c r="E18" s="406">
        <f t="shared" si="5"/>
        <v>618.29999999999995</v>
      </c>
      <c r="F18" s="406">
        <f t="shared" si="5"/>
        <v>673.3</v>
      </c>
      <c r="G18" s="405">
        <f t="shared" si="5"/>
        <v>750.50302756999997</v>
      </c>
      <c r="H18" s="406">
        <f t="shared" si="5"/>
        <v>855.29263037999988</v>
      </c>
      <c r="I18" s="406">
        <f t="shared" si="5"/>
        <v>910.10466632999999</v>
      </c>
      <c r="J18" s="406">
        <f t="shared" si="5"/>
        <v>982.79967571999998</v>
      </c>
      <c r="K18" s="405">
        <f t="shared" si="5"/>
        <v>860.80000000000007</v>
      </c>
      <c r="L18" s="406">
        <f t="shared" si="5"/>
        <v>773.3</v>
      </c>
      <c r="M18" s="406">
        <f t="shared" si="5"/>
        <v>732.10000000000014</v>
      </c>
      <c r="N18" s="406">
        <f t="shared" si="5"/>
        <v>711.49999999999989</v>
      </c>
      <c r="O18" s="405">
        <f t="shared" si="5"/>
        <v>726.8</v>
      </c>
      <c r="P18" s="406">
        <f t="shared" si="5"/>
        <v>723.1</v>
      </c>
      <c r="Q18" s="406">
        <f t="shared" si="5"/>
        <v>747.30000000000007</v>
      </c>
      <c r="R18" s="406">
        <f t="shared" si="5"/>
        <v>751.50000000000011</v>
      </c>
      <c r="S18" s="405">
        <f t="shared" si="5"/>
        <v>772.5999999999998</v>
      </c>
      <c r="T18" s="406">
        <f t="shared" si="5"/>
        <v>833.6</v>
      </c>
      <c r="U18" s="406">
        <f t="shared" si="5"/>
        <v>882.30000000000007</v>
      </c>
      <c r="V18" s="406">
        <f t="shared" si="5"/>
        <v>897</v>
      </c>
      <c r="W18" s="405">
        <f t="shared" si="5"/>
        <v>945.2</v>
      </c>
      <c r="X18" s="406">
        <f t="shared" si="5"/>
        <v>945.19999999999993</v>
      </c>
      <c r="Y18" s="406">
        <f t="shared" si="5"/>
        <v>963.2</v>
      </c>
      <c r="Z18" s="406">
        <f t="shared" si="5"/>
        <v>977.90000000000009</v>
      </c>
      <c r="AA18" s="405">
        <f t="shared" si="5"/>
        <v>925.09999999999991</v>
      </c>
      <c r="AB18" s="406">
        <f t="shared" si="5"/>
        <v>902.8</v>
      </c>
      <c r="AC18" s="406">
        <f t="shared" si="5"/>
        <v>895.39999999999975</v>
      </c>
      <c r="AD18" s="406">
        <f t="shared" si="5"/>
        <v>891.4</v>
      </c>
      <c r="AE18" s="405">
        <f t="shared" si="5"/>
        <v>903.80000000000007</v>
      </c>
      <c r="AF18" s="406">
        <f t="shared" si="5"/>
        <v>932.59999999999991</v>
      </c>
      <c r="AG18" s="406">
        <f t="shared" si="5"/>
        <v>962.2</v>
      </c>
      <c r="AH18" s="406">
        <f t="shared" si="5"/>
        <v>925.9</v>
      </c>
      <c r="AI18" s="405">
        <f t="shared" si="5"/>
        <v>887</v>
      </c>
      <c r="AJ18" s="406">
        <f t="shared" si="5"/>
        <v>878</v>
      </c>
      <c r="AK18" s="406">
        <f t="shared" si="5"/>
        <v>928.5</v>
      </c>
      <c r="AL18" s="406">
        <f t="shared" si="5"/>
        <v>935.1</v>
      </c>
      <c r="AM18" s="405">
        <f t="shared" si="5"/>
        <v>935</v>
      </c>
      <c r="AN18" s="406">
        <f t="shared" si="5"/>
        <v>961.2</v>
      </c>
      <c r="AO18" s="406">
        <f t="shared" si="5"/>
        <v>1010.5000000000001</v>
      </c>
      <c r="AP18" s="406">
        <f t="shared" si="5"/>
        <v>1016.1999999999998</v>
      </c>
      <c r="AQ18" s="405">
        <f t="shared" si="5"/>
        <v>1004.3</v>
      </c>
      <c r="AR18" s="406">
        <f t="shared" si="5"/>
        <v>1040.5999999999999</v>
      </c>
      <c r="AS18" s="406">
        <f t="shared" si="5"/>
        <v>1081.6000000000001</v>
      </c>
      <c r="AT18" s="406">
        <f>SUM(AT6:AT7,AT12:AT17)</f>
        <v>1111.0000000000002</v>
      </c>
      <c r="AU18" s="405">
        <f t="shared" ref="AU18:AZ18" si="6">SUM(AU5,AU10)</f>
        <v>1098.0999999999999</v>
      </c>
      <c r="AV18" s="406">
        <f t="shared" si="6"/>
        <v>1150.2</v>
      </c>
      <c r="AW18" s="406">
        <f t="shared" si="6"/>
        <v>1194.7</v>
      </c>
      <c r="AX18" s="406">
        <f t="shared" si="6"/>
        <v>1230.8</v>
      </c>
      <c r="AY18" s="405">
        <f t="shared" si="6"/>
        <v>1263.0999999999999</v>
      </c>
      <c r="AZ18" s="406">
        <f t="shared" si="6"/>
        <v>1314.1</v>
      </c>
      <c r="BA18" s="406">
        <f t="shared" ref="BA18:BC18" si="7">SUM(BA5,BA10)</f>
        <v>1367.5</v>
      </c>
      <c r="BB18" s="406">
        <f t="shared" si="7"/>
        <v>1366.5999999999997</v>
      </c>
      <c r="BC18" s="405">
        <f t="shared" si="7"/>
        <v>1386.6000000000001</v>
      </c>
      <c r="BD18" s="406">
        <f t="shared" ref="BD18:BF18" si="8">SUM(BD5,BD10)</f>
        <v>1304</v>
      </c>
      <c r="BE18" s="406">
        <f t="shared" si="8"/>
        <v>1277.3</v>
      </c>
      <c r="BF18" s="406">
        <f t="shared" si="8"/>
        <v>1279</v>
      </c>
    </row>
    <row r="19" spans="1:58" s="424" customFormat="1" ht="11.25">
      <c r="A19" s="421"/>
      <c r="B19" s="421"/>
      <c r="C19" s="407"/>
      <c r="D19" s="408"/>
      <c r="E19" s="408"/>
      <c r="F19" s="408"/>
      <c r="G19" s="407"/>
      <c r="H19" s="408"/>
      <c r="I19" s="408"/>
      <c r="J19" s="504"/>
      <c r="K19" s="407"/>
      <c r="L19" s="408"/>
      <c r="M19" s="408"/>
      <c r="N19" s="504"/>
      <c r="O19" s="407"/>
      <c r="P19" s="408"/>
      <c r="Q19" s="408"/>
      <c r="R19" s="504"/>
      <c r="S19" s="407"/>
      <c r="T19" s="408"/>
      <c r="U19" s="408"/>
      <c r="V19" s="504"/>
      <c r="W19" s="407"/>
      <c r="X19" s="408"/>
      <c r="Y19" s="408"/>
      <c r="Z19" s="504"/>
      <c r="AA19" s="407"/>
      <c r="AB19" s="408"/>
      <c r="AC19" s="408"/>
      <c r="AD19" s="504"/>
      <c r="AE19" s="407"/>
      <c r="AF19" s="408"/>
      <c r="AG19" s="408"/>
      <c r="AH19" s="504"/>
      <c r="AI19" s="407"/>
      <c r="AJ19" s="408"/>
      <c r="AK19" s="408"/>
      <c r="AL19" s="408"/>
      <c r="AM19" s="407"/>
      <c r="AN19" s="408"/>
      <c r="AO19" s="408"/>
      <c r="AP19" s="408"/>
      <c r="AQ19" s="407"/>
      <c r="AR19" s="408"/>
      <c r="AS19" s="408"/>
      <c r="AT19" s="408"/>
      <c r="AU19" s="407"/>
      <c r="AV19" s="408"/>
      <c r="AW19" s="408"/>
      <c r="AX19" s="408"/>
      <c r="AY19" s="407"/>
      <c r="AZ19" s="408"/>
      <c r="BA19" s="408"/>
      <c r="BB19" s="408"/>
      <c r="BC19" s="407"/>
      <c r="BD19" s="408"/>
      <c r="BE19" s="408"/>
      <c r="BF19" s="408"/>
    </row>
    <row r="20" spans="1:58" s="424" customFormat="1" ht="11.25">
      <c r="A20" s="509" t="s">
        <v>210</v>
      </c>
      <c r="B20" s="509" t="s">
        <v>42</v>
      </c>
      <c r="C20" s="407"/>
      <c r="D20" s="408"/>
      <c r="E20" s="408"/>
      <c r="F20" s="408"/>
      <c r="G20" s="407"/>
      <c r="H20" s="408"/>
      <c r="I20" s="408"/>
      <c r="J20" s="504"/>
      <c r="K20" s="407"/>
      <c r="L20" s="408"/>
      <c r="M20" s="408"/>
      <c r="N20" s="504"/>
      <c r="O20" s="407"/>
      <c r="P20" s="408"/>
      <c r="Q20" s="408"/>
      <c r="R20" s="504"/>
      <c r="S20" s="407"/>
      <c r="T20" s="408"/>
      <c r="U20" s="408"/>
      <c r="V20" s="504"/>
      <c r="W20" s="407"/>
      <c r="X20" s="408"/>
      <c r="Y20" s="408"/>
      <c r="Z20" s="504"/>
      <c r="AA20" s="407"/>
      <c r="AB20" s="408"/>
      <c r="AC20" s="408"/>
      <c r="AD20" s="504"/>
      <c r="AE20" s="407"/>
      <c r="AF20" s="408"/>
      <c r="AG20" s="408"/>
      <c r="AH20" s="504"/>
      <c r="AI20" s="407"/>
      <c r="AJ20" s="408"/>
      <c r="AK20" s="408"/>
      <c r="AL20" s="408"/>
      <c r="AM20" s="407"/>
      <c r="AN20" s="408"/>
      <c r="AO20" s="408"/>
      <c r="AP20" s="408"/>
      <c r="AQ20" s="407"/>
      <c r="AR20" s="408"/>
      <c r="AS20" s="408"/>
      <c r="AT20" s="408"/>
      <c r="AU20" s="407"/>
      <c r="AV20" s="408"/>
      <c r="AW20" s="408"/>
      <c r="AX20" s="408"/>
      <c r="AY20" s="407"/>
      <c r="AZ20" s="408"/>
      <c r="BA20" s="408"/>
      <c r="BB20" s="408"/>
      <c r="BC20" s="407"/>
      <c r="BD20" s="408"/>
      <c r="BE20" s="408"/>
      <c r="BF20" s="408"/>
    </row>
    <row r="21" spans="1:58" s="424" customFormat="1" ht="11.25">
      <c r="A21" s="508" t="s">
        <v>712</v>
      </c>
      <c r="B21" s="508" t="s">
        <v>43</v>
      </c>
      <c r="C21" s="407">
        <v>26.7</v>
      </c>
      <c r="D21" s="408">
        <v>25.7</v>
      </c>
      <c r="E21" s="408">
        <v>30.7</v>
      </c>
      <c r="F21" s="408">
        <v>35.4</v>
      </c>
      <c r="G21" s="407">
        <f>38.9-0.4</f>
        <v>38.5</v>
      </c>
      <c r="H21" s="408">
        <f>55-1.2</f>
        <v>53.8</v>
      </c>
      <c r="I21" s="408">
        <f>61.9-0.5</f>
        <v>61.4</v>
      </c>
      <c r="J21" s="504">
        <f>90.5-0.5</f>
        <v>90</v>
      </c>
      <c r="K21" s="407">
        <f>97.7-0.8</f>
        <v>96.9</v>
      </c>
      <c r="L21" s="408">
        <f>52.3-0.9</f>
        <v>51.4</v>
      </c>
      <c r="M21" s="408">
        <f>18.4-0.5</f>
        <v>17.899999999999999</v>
      </c>
      <c r="N21" s="504">
        <f>16.6-0.2</f>
        <v>16.400000000000002</v>
      </c>
      <c r="O21" s="407">
        <v>18.600000000000001</v>
      </c>
      <c r="P21" s="408">
        <v>18.600000000000001</v>
      </c>
      <c r="Q21" s="408">
        <v>19.3</v>
      </c>
      <c r="R21" s="504">
        <v>34.700000000000003</v>
      </c>
      <c r="S21" s="407">
        <v>42</v>
      </c>
      <c r="T21" s="408">
        <v>48.9</v>
      </c>
      <c r="U21" s="408">
        <v>44.3</v>
      </c>
      <c r="V21" s="504">
        <v>27.7</v>
      </c>
      <c r="W21" s="407">
        <f>39.8-0.2</f>
        <v>39.599999999999994</v>
      </c>
      <c r="X21" s="408">
        <f>31.4-0.1</f>
        <v>31.299999999999997</v>
      </c>
      <c r="Y21" s="408">
        <f>24.2-0.3</f>
        <v>23.9</v>
      </c>
      <c r="Z21" s="504">
        <f>32.3-0.3</f>
        <v>31.999999999999996</v>
      </c>
      <c r="AA21" s="407">
        <f>26.3-0.4</f>
        <v>25.900000000000002</v>
      </c>
      <c r="AB21" s="408">
        <f>24.5-1.9</f>
        <v>22.6</v>
      </c>
      <c r="AC21" s="408">
        <f>17.3-1.3</f>
        <v>16</v>
      </c>
      <c r="AD21" s="504">
        <f>16.9-1</f>
        <v>15.899999999999999</v>
      </c>
      <c r="AE21" s="407">
        <v>24.2</v>
      </c>
      <c r="AF21" s="408">
        <v>28.799999999999997</v>
      </c>
      <c r="AG21" s="408">
        <v>19.399999999999999</v>
      </c>
      <c r="AH21" s="504">
        <v>17.899999999999999</v>
      </c>
      <c r="AI21" s="407">
        <v>14.9</v>
      </c>
      <c r="AJ21" s="408">
        <v>16.5</v>
      </c>
      <c r="AK21" s="408">
        <v>19.5</v>
      </c>
      <c r="AL21" s="408">
        <v>14.3</v>
      </c>
      <c r="AM21" s="407">
        <v>8.6</v>
      </c>
      <c r="AN21" s="408">
        <v>7.8</v>
      </c>
      <c r="AO21" s="408">
        <v>15.2</v>
      </c>
      <c r="AP21" s="408">
        <v>13</v>
      </c>
      <c r="AQ21" s="407">
        <v>16.899999999999999</v>
      </c>
      <c r="AR21" s="408">
        <v>16.3</v>
      </c>
      <c r="AS21" s="408">
        <v>15.5</v>
      </c>
      <c r="AT21" s="408">
        <v>12.2</v>
      </c>
      <c r="AU21" s="407">
        <v>10.199999999999999</v>
      </c>
      <c r="AV21" s="408">
        <v>14.5</v>
      </c>
      <c r="AW21" s="408">
        <v>19.5</v>
      </c>
      <c r="AX21" s="408">
        <v>14.1</v>
      </c>
      <c r="AY21" s="407">
        <v>15.1</v>
      </c>
      <c r="AZ21" s="408">
        <v>15.6</v>
      </c>
      <c r="BA21" s="408">
        <v>14.5</v>
      </c>
      <c r="BB21" s="408">
        <v>13.1</v>
      </c>
      <c r="BC21" s="407">
        <v>12.8</v>
      </c>
      <c r="BD21" s="408">
        <v>3.8</v>
      </c>
      <c r="BE21" s="408">
        <v>1.7</v>
      </c>
      <c r="BF21" s="408">
        <v>1.6</v>
      </c>
    </row>
    <row r="22" spans="1:58" s="424" customFormat="1" ht="11.25">
      <c r="A22" s="412" t="s">
        <v>713</v>
      </c>
      <c r="B22" s="412" t="s">
        <v>44</v>
      </c>
      <c r="C22" s="407">
        <v>293.2</v>
      </c>
      <c r="D22" s="408">
        <v>313.40000000000003</v>
      </c>
      <c r="E22" s="408">
        <v>333</v>
      </c>
      <c r="F22" s="408">
        <v>374.7</v>
      </c>
      <c r="G22" s="407">
        <v>428.59999999999997</v>
      </c>
      <c r="H22" s="408">
        <v>485.7</v>
      </c>
      <c r="I22" s="408">
        <v>527.79999999999995</v>
      </c>
      <c r="J22" s="504">
        <v>560.29999999999995</v>
      </c>
      <c r="K22" s="407">
        <v>452.8</v>
      </c>
      <c r="L22" s="408">
        <v>362.9</v>
      </c>
      <c r="M22" s="408">
        <v>336.2</v>
      </c>
      <c r="N22" s="504">
        <v>340.7</v>
      </c>
      <c r="O22" s="407">
        <v>317.8</v>
      </c>
      <c r="P22" s="408">
        <v>299.2</v>
      </c>
      <c r="Q22" s="408">
        <v>317.8</v>
      </c>
      <c r="R22" s="504">
        <v>295.10000000000002</v>
      </c>
      <c r="S22" s="407">
        <v>295.7</v>
      </c>
      <c r="T22" s="408">
        <v>325.2</v>
      </c>
      <c r="U22" s="408">
        <v>360.6</v>
      </c>
      <c r="V22" s="504">
        <v>389.6</v>
      </c>
      <c r="W22" s="407">
        <v>392.09999999999997</v>
      </c>
      <c r="X22" s="408">
        <v>399.8</v>
      </c>
      <c r="Y22" s="408">
        <v>423.8</v>
      </c>
      <c r="Z22" s="504">
        <v>438.1</v>
      </c>
      <c r="AA22" s="407">
        <v>416</v>
      </c>
      <c r="AB22" s="408">
        <v>377.59999999999997</v>
      </c>
      <c r="AC22" s="408">
        <v>346.90000000000003</v>
      </c>
      <c r="AD22" s="504">
        <v>323.7</v>
      </c>
      <c r="AE22" s="407">
        <v>305.79999999999995</v>
      </c>
      <c r="AF22" s="408">
        <v>316.10000000000002</v>
      </c>
      <c r="AG22" s="408">
        <v>340.3</v>
      </c>
      <c r="AH22" s="504">
        <v>319.20000000000005</v>
      </c>
      <c r="AI22" s="407">
        <v>296.60000000000002</v>
      </c>
      <c r="AJ22" s="408">
        <v>260.60000000000002</v>
      </c>
      <c r="AK22" s="408">
        <v>258.5</v>
      </c>
      <c r="AL22" s="408">
        <v>255.6</v>
      </c>
      <c r="AM22" s="407">
        <v>251.1</v>
      </c>
      <c r="AN22" s="408">
        <v>253.3</v>
      </c>
      <c r="AO22" s="408">
        <v>201.2</v>
      </c>
      <c r="AP22" s="408">
        <v>184.4</v>
      </c>
      <c r="AQ22" s="407">
        <v>183.79999999999998</v>
      </c>
      <c r="AR22" s="408">
        <v>185</v>
      </c>
      <c r="AS22" s="408">
        <v>188.29999999999998</v>
      </c>
      <c r="AT22" s="408">
        <v>195.70000000000002</v>
      </c>
      <c r="AU22" s="407">
        <v>200.1</v>
      </c>
      <c r="AV22" s="408">
        <v>210.6</v>
      </c>
      <c r="AW22" s="408">
        <v>209</v>
      </c>
      <c r="AX22" s="408">
        <v>215.8</v>
      </c>
      <c r="AY22" s="407">
        <v>220.2</v>
      </c>
      <c r="AZ22" s="408">
        <v>237.6</v>
      </c>
      <c r="BA22" s="408">
        <v>216.4</v>
      </c>
      <c r="BB22" s="408">
        <v>216.9</v>
      </c>
      <c r="BC22" s="407">
        <v>210.3</v>
      </c>
      <c r="BD22" s="408">
        <v>189.9</v>
      </c>
      <c r="BE22" s="408">
        <v>128.5</v>
      </c>
      <c r="BF22" s="408">
        <v>113.7</v>
      </c>
    </row>
    <row r="23" spans="1:58" s="424" customFormat="1" ht="11.25">
      <c r="A23" s="412" t="s">
        <v>714</v>
      </c>
      <c r="B23" s="412" t="s">
        <v>398</v>
      </c>
      <c r="C23" s="407">
        <v>0</v>
      </c>
      <c r="D23" s="408">
        <v>0</v>
      </c>
      <c r="E23" s="408">
        <v>0</v>
      </c>
      <c r="F23" s="408">
        <v>0</v>
      </c>
      <c r="G23" s="407">
        <v>0</v>
      </c>
      <c r="H23" s="408">
        <v>0</v>
      </c>
      <c r="I23" s="408">
        <v>0</v>
      </c>
      <c r="J23" s="504">
        <v>0</v>
      </c>
      <c r="K23" s="407">
        <v>0</v>
      </c>
      <c r="L23" s="408">
        <v>0</v>
      </c>
      <c r="M23" s="408">
        <v>0</v>
      </c>
      <c r="N23" s="504">
        <v>0</v>
      </c>
      <c r="O23" s="407">
        <v>0</v>
      </c>
      <c r="P23" s="408">
        <v>0</v>
      </c>
      <c r="Q23" s="408">
        <v>0</v>
      </c>
      <c r="R23" s="504">
        <v>0</v>
      </c>
      <c r="S23" s="407">
        <v>0</v>
      </c>
      <c r="T23" s="408">
        <v>0</v>
      </c>
      <c r="U23" s="408">
        <v>0</v>
      </c>
      <c r="V23" s="504">
        <v>0</v>
      </c>
      <c r="W23" s="407">
        <v>0</v>
      </c>
      <c r="X23" s="408">
        <v>0</v>
      </c>
      <c r="Y23" s="408">
        <v>0</v>
      </c>
      <c r="Z23" s="504">
        <v>2</v>
      </c>
      <c r="AA23" s="407">
        <v>7.4</v>
      </c>
      <c r="AB23" s="408">
        <v>6.8</v>
      </c>
      <c r="AC23" s="408">
        <v>5.0999999999999996</v>
      </c>
      <c r="AD23" s="504">
        <v>5.0999999999999996</v>
      </c>
      <c r="AE23" s="407">
        <v>5</v>
      </c>
      <c r="AF23" s="408">
        <v>5.0999999999999996</v>
      </c>
      <c r="AG23" s="408">
        <v>5.0999999999999996</v>
      </c>
      <c r="AH23" s="504">
        <v>5.3</v>
      </c>
      <c r="AI23" s="407">
        <v>6.1</v>
      </c>
      <c r="AJ23" s="408">
        <v>6.2</v>
      </c>
      <c r="AK23" s="408">
        <v>5.7</v>
      </c>
      <c r="AL23" s="408">
        <v>5.7</v>
      </c>
      <c r="AM23" s="407">
        <v>5.7</v>
      </c>
      <c r="AN23" s="408">
        <v>5.6</v>
      </c>
      <c r="AO23" s="408">
        <v>5.6</v>
      </c>
      <c r="AP23" s="408">
        <v>5.8</v>
      </c>
      <c r="AQ23" s="407">
        <v>5.7</v>
      </c>
      <c r="AR23" s="408">
        <v>5.7</v>
      </c>
      <c r="AS23" s="408">
        <v>5.8</v>
      </c>
      <c r="AT23" s="408">
        <v>4.6999999999999993</v>
      </c>
      <c r="AU23" s="407">
        <v>1.9</v>
      </c>
      <c r="AV23" s="408">
        <v>1.9</v>
      </c>
      <c r="AW23" s="408">
        <v>1.9</v>
      </c>
      <c r="AX23" s="408">
        <v>1.9</v>
      </c>
      <c r="AY23" s="407">
        <v>1.9</v>
      </c>
      <c r="AZ23" s="408">
        <v>1.9</v>
      </c>
      <c r="BA23" s="408">
        <v>1.9</v>
      </c>
      <c r="BB23" s="408">
        <v>4.0999999999999996</v>
      </c>
      <c r="BC23" s="407">
        <v>2.8</v>
      </c>
      <c r="BD23" s="408">
        <v>2.1</v>
      </c>
      <c r="BE23" s="408">
        <v>2.1</v>
      </c>
      <c r="BF23" s="408">
        <v>1.4</v>
      </c>
    </row>
    <row r="24" spans="1:58" s="424" customFormat="1" ht="11.25">
      <c r="A24" s="513" t="s">
        <v>716</v>
      </c>
      <c r="B24" s="513" t="s">
        <v>529</v>
      </c>
      <c r="C24" s="407">
        <v>0</v>
      </c>
      <c r="D24" s="408">
        <v>0</v>
      </c>
      <c r="E24" s="408">
        <v>0</v>
      </c>
      <c r="F24" s="408">
        <v>0</v>
      </c>
      <c r="G24" s="407">
        <v>0</v>
      </c>
      <c r="H24" s="408">
        <v>0</v>
      </c>
      <c r="I24" s="408">
        <v>0</v>
      </c>
      <c r="J24" s="504">
        <v>0</v>
      </c>
      <c r="K24" s="407">
        <v>0</v>
      </c>
      <c r="L24" s="408">
        <v>0</v>
      </c>
      <c r="M24" s="408">
        <v>0</v>
      </c>
      <c r="N24" s="504">
        <v>0</v>
      </c>
      <c r="O24" s="407">
        <v>0</v>
      </c>
      <c r="P24" s="408">
        <v>0</v>
      </c>
      <c r="Q24" s="408">
        <v>0</v>
      </c>
      <c r="R24" s="504">
        <v>0</v>
      </c>
      <c r="S24" s="407">
        <v>0</v>
      </c>
      <c r="T24" s="408">
        <v>0</v>
      </c>
      <c r="U24" s="408">
        <v>0</v>
      </c>
      <c r="V24" s="504">
        <v>0</v>
      </c>
      <c r="W24" s="407">
        <v>0</v>
      </c>
      <c r="X24" s="408">
        <v>0</v>
      </c>
      <c r="Y24" s="408">
        <v>0</v>
      </c>
      <c r="Z24" s="504">
        <v>0</v>
      </c>
      <c r="AA24" s="407">
        <v>0</v>
      </c>
      <c r="AB24" s="408">
        <v>0</v>
      </c>
      <c r="AC24" s="408">
        <v>0</v>
      </c>
      <c r="AD24" s="408">
        <v>0</v>
      </c>
      <c r="AE24" s="407">
        <v>0</v>
      </c>
      <c r="AF24" s="408">
        <v>0</v>
      </c>
      <c r="AG24" s="408">
        <v>0</v>
      </c>
      <c r="AH24" s="408">
        <v>0</v>
      </c>
      <c r="AI24" s="407">
        <v>0</v>
      </c>
      <c r="AJ24" s="408">
        <v>0</v>
      </c>
      <c r="AK24" s="408">
        <v>0</v>
      </c>
      <c r="AL24" s="408">
        <v>0</v>
      </c>
      <c r="AM24" s="407">
        <v>1.3</v>
      </c>
      <c r="AN24" s="408">
        <v>3.4</v>
      </c>
      <c r="AO24" s="408">
        <v>3.3</v>
      </c>
      <c r="AP24" s="408">
        <v>3.2</v>
      </c>
      <c r="AQ24" s="407">
        <v>3.1</v>
      </c>
      <c r="AR24" s="408">
        <v>3.1</v>
      </c>
      <c r="AS24" s="408">
        <v>3.1</v>
      </c>
      <c r="AT24" s="408">
        <v>3.1999999999999993</v>
      </c>
      <c r="AU24" s="407">
        <v>2.9</v>
      </c>
      <c r="AV24" s="408">
        <v>3.2</v>
      </c>
      <c r="AW24" s="408">
        <v>3.1</v>
      </c>
      <c r="AX24" s="408">
        <v>3.9</v>
      </c>
      <c r="AY24" s="407">
        <v>4.0999999999999996</v>
      </c>
      <c r="AZ24" s="408">
        <v>4.2</v>
      </c>
      <c r="BA24" s="408">
        <v>4.0999999999999996</v>
      </c>
      <c r="BB24" s="408">
        <v>7.3</v>
      </c>
      <c r="BC24" s="407">
        <v>7.4</v>
      </c>
      <c r="BD24" s="408">
        <v>8</v>
      </c>
      <c r="BE24" s="408">
        <v>7.7</v>
      </c>
      <c r="BF24" s="408">
        <v>7.3</v>
      </c>
    </row>
    <row r="25" spans="1:58" s="424" customFormat="1" ht="11.25">
      <c r="A25" s="412" t="s">
        <v>715</v>
      </c>
      <c r="B25" s="412" t="s">
        <v>405</v>
      </c>
      <c r="C25" s="407">
        <v>0</v>
      </c>
      <c r="D25" s="408">
        <v>0</v>
      </c>
      <c r="E25" s="408">
        <v>0</v>
      </c>
      <c r="F25" s="408">
        <v>0</v>
      </c>
      <c r="G25" s="407">
        <v>0</v>
      </c>
      <c r="H25" s="408">
        <v>0</v>
      </c>
      <c r="I25" s="408">
        <v>0</v>
      </c>
      <c r="J25" s="504">
        <v>0</v>
      </c>
      <c r="K25" s="407">
        <v>0</v>
      </c>
      <c r="L25" s="408">
        <v>0</v>
      </c>
      <c r="M25" s="408">
        <v>0</v>
      </c>
      <c r="N25" s="504">
        <v>0</v>
      </c>
      <c r="O25" s="407">
        <v>0</v>
      </c>
      <c r="P25" s="408">
        <v>0</v>
      </c>
      <c r="Q25" s="408">
        <v>0</v>
      </c>
      <c r="R25" s="504">
        <v>0</v>
      </c>
      <c r="S25" s="407">
        <v>0</v>
      </c>
      <c r="T25" s="408">
        <v>0</v>
      </c>
      <c r="U25" s="408">
        <v>0</v>
      </c>
      <c r="V25" s="504">
        <v>0</v>
      </c>
      <c r="W25" s="407">
        <v>0</v>
      </c>
      <c r="X25" s="408">
        <v>0</v>
      </c>
      <c r="Y25" s="408">
        <v>0</v>
      </c>
      <c r="Z25" s="504">
        <v>0</v>
      </c>
      <c r="AA25" s="407">
        <v>0</v>
      </c>
      <c r="AB25" s="408">
        <v>0.5</v>
      </c>
      <c r="AC25" s="408">
        <v>1.3</v>
      </c>
      <c r="AD25" s="504">
        <v>1.3</v>
      </c>
      <c r="AE25" s="407">
        <v>0.9</v>
      </c>
      <c r="AF25" s="408">
        <v>0.4</v>
      </c>
      <c r="AG25" s="408">
        <v>0.5</v>
      </c>
      <c r="AH25" s="504">
        <v>0.3</v>
      </c>
      <c r="AI25" s="407">
        <v>0.4</v>
      </c>
      <c r="AJ25" s="408">
        <v>0.6</v>
      </c>
      <c r="AK25" s="408">
        <v>0.2</v>
      </c>
      <c r="AL25" s="408">
        <v>0.1</v>
      </c>
      <c r="AM25" s="407">
        <v>0.2</v>
      </c>
      <c r="AN25" s="408">
        <v>0.2</v>
      </c>
      <c r="AO25" s="408">
        <v>0.3</v>
      </c>
      <c r="AP25" s="408">
        <v>0.3</v>
      </c>
      <c r="AQ25" s="407">
        <v>0</v>
      </c>
      <c r="AR25" s="408">
        <v>0</v>
      </c>
      <c r="AS25" s="408">
        <v>0</v>
      </c>
      <c r="AT25" s="408">
        <v>0</v>
      </c>
      <c r="AU25" s="407" t="s">
        <v>332</v>
      </c>
      <c r="AV25" s="408" t="s">
        <v>332</v>
      </c>
      <c r="AW25" s="408" t="s">
        <v>332</v>
      </c>
      <c r="AX25" s="408" t="s">
        <v>332</v>
      </c>
      <c r="AY25" s="407" t="s">
        <v>332</v>
      </c>
      <c r="AZ25" s="408" t="s">
        <v>332</v>
      </c>
      <c r="BA25" s="408" t="s">
        <v>332</v>
      </c>
      <c r="BB25" s="408" t="s">
        <v>332</v>
      </c>
      <c r="BC25" s="407" t="s">
        <v>332</v>
      </c>
      <c r="BD25" s="408" t="s">
        <v>332</v>
      </c>
      <c r="BE25" s="408" t="s">
        <v>332</v>
      </c>
      <c r="BF25" s="408" t="s">
        <v>332</v>
      </c>
    </row>
    <row r="26" spans="1:58" s="424" customFormat="1" ht="11.25">
      <c r="A26" s="412" t="s">
        <v>842</v>
      </c>
      <c r="B26" s="412" t="s">
        <v>843</v>
      </c>
      <c r="C26" s="407" t="s">
        <v>332</v>
      </c>
      <c r="D26" s="408" t="s">
        <v>332</v>
      </c>
      <c r="E26" s="408" t="s">
        <v>332</v>
      </c>
      <c r="F26" s="408" t="s">
        <v>332</v>
      </c>
      <c r="G26" s="407" t="s">
        <v>332</v>
      </c>
      <c r="H26" s="408" t="s">
        <v>332</v>
      </c>
      <c r="I26" s="408" t="s">
        <v>332</v>
      </c>
      <c r="J26" s="408" t="s">
        <v>332</v>
      </c>
      <c r="K26" s="407" t="s">
        <v>332</v>
      </c>
      <c r="L26" s="408" t="s">
        <v>332</v>
      </c>
      <c r="M26" s="408" t="s">
        <v>332</v>
      </c>
      <c r="N26" s="408" t="s">
        <v>332</v>
      </c>
      <c r="O26" s="407" t="s">
        <v>332</v>
      </c>
      <c r="P26" s="408" t="s">
        <v>332</v>
      </c>
      <c r="Q26" s="408" t="s">
        <v>332</v>
      </c>
      <c r="R26" s="408" t="s">
        <v>332</v>
      </c>
      <c r="S26" s="407" t="s">
        <v>332</v>
      </c>
      <c r="T26" s="408" t="s">
        <v>332</v>
      </c>
      <c r="U26" s="408" t="s">
        <v>332</v>
      </c>
      <c r="V26" s="408" t="s">
        <v>332</v>
      </c>
      <c r="W26" s="407" t="s">
        <v>332</v>
      </c>
      <c r="X26" s="408" t="s">
        <v>332</v>
      </c>
      <c r="Y26" s="408" t="s">
        <v>332</v>
      </c>
      <c r="Z26" s="408" t="s">
        <v>332</v>
      </c>
      <c r="AA26" s="407" t="s">
        <v>332</v>
      </c>
      <c r="AB26" s="408" t="s">
        <v>332</v>
      </c>
      <c r="AC26" s="408" t="s">
        <v>332</v>
      </c>
      <c r="AD26" s="408" t="s">
        <v>332</v>
      </c>
      <c r="AE26" s="407" t="s">
        <v>332</v>
      </c>
      <c r="AF26" s="408" t="s">
        <v>332</v>
      </c>
      <c r="AG26" s="408" t="s">
        <v>332</v>
      </c>
      <c r="AH26" s="408" t="s">
        <v>332</v>
      </c>
      <c r="AI26" s="407" t="s">
        <v>332</v>
      </c>
      <c r="AJ26" s="408" t="s">
        <v>332</v>
      </c>
      <c r="AK26" s="408" t="s">
        <v>332</v>
      </c>
      <c r="AL26" s="408" t="s">
        <v>332</v>
      </c>
      <c r="AM26" s="407" t="s">
        <v>332</v>
      </c>
      <c r="AN26" s="408" t="s">
        <v>332</v>
      </c>
      <c r="AO26" s="408" t="s">
        <v>332</v>
      </c>
      <c r="AP26" s="408" t="s">
        <v>332</v>
      </c>
      <c r="AQ26" s="407" t="s">
        <v>332</v>
      </c>
      <c r="AR26" s="408" t="s">
        <v>332</v>
      </c>
      <c r="AS26" s="408" t="s">
        <v>332</v>
      </c>
      <c r="AT26" s="408" t="s">
        <v>332</v>
      </c>
      <c r="AU26" s="407" t="s">
        <v>332</v>
      </c>
      <c r="AV26" s="408" t="s">
        <v>332</v>
      </c>
      <c r="AW26" s="408" t="s">
        <v>332</v>
      </c>
      <c r="AX26" s="408" t="s">
        <v>332</v>
      </c>
      <c r="AY26" s="407">
        <v>1.6</v>
      </c>
      <c r="AZ26" s="408">
        <v>1.6</v>
      </c>
      <c r="BA26" s="408">
        <v>2.8</v>
      </c>
      <c r="BB26" s="408">
        <v>1.3</v>
      </c>
      <c r="BC26" s="407">
        <v>1.2</v>
      </c>
      <c r="BD26" s="408">
        <v>1</v>
      </c>
      <c r="BE26" s="408">
        <v>1</v>
      </c>
      <c r="BF26" s="408">
        <v>0.8</v>
      </c>
    </row>
    <row r="27" spans="1:58" s="424" customFormat="1" ht="11.25">
      <c r="A27" s="525" t="s">
        <v>211</v>
      </c>
      <c r="B27" s="525" t="s">
        <v>45</v>
      </c>
      <c r="C27" s="406">
        <f t="shared" ref="C27:Z27" si="9">SUM(C21:C23)</f>
        <v>319.89999999999998</v>
      </c>
      <c r="D27" s="406">
        <f t="shared" si="9"/>
        <v>339.1</v>
      </c>
      <c r="E27" s="406">
        <f t="shared" si="9"/>
        <v>363.7</v>
      </c>
      <c r="F27" s="406">
        <f t="shared" si="9"/>
        <v>410.09999999999997</v>
      </c>
      <c r="G27" s="405">
        <f t="shared" si="9"/>
        <v>467.09999999999997</v>
      </c>
      <c r="H27" s="406">
        <f t="shared" si="9"/>
        <v>539.5</v>
      </c>
      <c r="I27" s="406">
        <f t="shared" si="9"/>
        <v>589.19999999999993</v>
      </c>
      <c r="J27" s="406">
        <f t="shared" si="9"/>
        <v>650.29999999999995</v>
      </c>
      <c r="K27" s="405">
        <f t="shared" si="9"/>
        <v>549.70000000000005</v>
      </c>
      <c r="L27" s="406">
        <f t="shared" si="9"/>
        <v>414.29999999999995</v>
      </c>
      <c r="M27" s="406">
        <f t="shared" si="9"/>
        <v>354.09999999999997</v>
      </c>
      <c r="N27" s="406">
        <f t="shared" si="9"/>
        <v>357.09999999999997</v>
      </c>
      <c r="O27" s="405">
        <f t="shared" si="9"/>
        <v>336.40000000000003</v>
      </c>
      <c r="P27" s="406">
        <f t="shared" si="9"/>
        <v>317.8</v>
      </c>
      <c r="Q27" s="406">
        <f t="shared" si="9"/>
        <v>337.1</v>
      </c>
      <c r="R27" s="406">
        <f t="shared" si="9"/>
        <v>329.8</v>
      </c>
      <c r="S27" s="405">
        <f t="shared" si="9"/>
        <v>337.7</v>
      </c>
      <c r="T27" s="406">
        <f t="shared" si="9"/>
        <v>374.09999999999997</v>
      </c>
      <c r="U27" s="406">
        <f t="shared" si="9"/>
        <v>404.90000000000003</v>
      </c>
      <c r="V27" s="406">
        <f t="shared" si="9"/>
        <v>417.3</v>
      </c>
      <c r="W27" s="405">
        <f t="shared" si="9"/>
        <v>431.69999999999993</v>
      </c>
      <c r="X27" s="406">
        <f t="shared" si="9"/>
        <v>431.1</v>
      </c>
      <c r="Y27" s="406">
        <f t="shared" si="9"/>
        <v>447.7</v>
      </c>
      <c r="Z27" s="406">
        <f t="shared" si="9"/>
        <v>472.1</v>
      </c>
      <c r="AA27" s="405">
        <f t="shared" ref="AA27:AV27" si="10">SUM(AA21:AA25)</f>
        <v>449.29999999999995</v>
      </c>
      <c r="AB27" s="406">
        <f t="shared" si="10"/>
        <v>407.5</v>
      </c>
      <c r="AC27" s="406">
        <f t="shared" si="10"/>
        <v>369.30000000000007</v>
      </c>
      <c r="AD27" s="406">
        <f t="shared" si="10"/>
        <v>346</v>
      </c>
      <c r="AE27" s="405">
        <f t="shared" si="10"/>
        <v>335.89999999999992</v>
      </c>
      <c r="AF27" s="406">
        <f t="shared" si="10"/>
        <v>350.40000000000003</v>
      </c>
      <c r="AG27" s="406">
        <f t="shared" si="10"/>
        <v>365.3</v>
      </c>
      <c r="AH27" s="406">
        <f t="shared" si="10"/>
        <v>342.70000000000005</v>
      </c>
      <c r="AI27" s="405">
        <f t="shared" si="10"/>
        <v>318</v>
      </c>
      <c r="AJ27" s="406">
        <f t="shared" si="10"/>
        <v>283.90000000000003</v>
      </c>
      <c r="AK27" s="406">
        <f t="shared" si="10"/>
        <v>283.89999999999998</v>
      </c>
      <c r="AL27" s="406">
        <f t="shared" si="10"/>
        <v>275.7</v>
      </c>
      <c r="AM27" s="405">
        <f t="shared" si="10"/>
        <v>266.89999999999998</v>
      </c>
      <c r="AN27" s="406">
        <f t="shared" si="10"/>
        <v>270.3</v>
      </c>
      <c r="AO27" s="406">
        <f t="shared" si="10"/>
        <v>225.6</v>
      </c>
      <c r="AP27" s="406">
        <f t="shared" si="10"/>
        <v>206.70000000000002</v>
      </c>
      <c r="AQ27" s="405">
        <f t="shared" si="10"/>
        <v>209.49999999999997</v>
      </c>
      <c r="AR27" s="406">
        <f t="shared" si="10"/>
        <v>210.1</v>
      </c>
      <c r="AS27" s="406">
        <f t="shared" si="10"/>
        <v>212.7</v>
      </c>
      <c r="AT27" s="406">
        <f t="shared" si="10"/>
        <v>215.79999999999998</v>
      </c>
      <c r="AU27" s="405">
        <f t="shared" si="10"/>
        <v>215.1</v>
      </c>
      <c r="AV27" s="406">
        <f t="shared" si="10"/>
        <v>230.2</v>
      </c>
      <c r="AW27" s="406">
        <f t="shared" ref="AW27:AX27" si="11">SUM(AW21:AW25)</f>
        <v>233.5</v>
      </c>
      <c r="AX27" s="406">
        <f t="shared" si="11"/>
        <v>235.70000000000002</v>
      </c>
      <c r="AY27" s="405">
        <f t="shared" ref="AY27:BF27" si="12">SUM(AY21:AY26)</f>
        <v>242.89999999999998</v>
      </c>
      <c r="AZ27" s="406">
        <f t="shared" si="12"/>
        <v>260.90000000000003</v>
      </c>
      <c r="BA27" s="406">
        <f t="shared" si="12"/>
        <v>239.70000000000002</v>
      </c>
      <c r="BB27" s="406">
        <f t="shared" si="12"/>
        <v>242.70000000000002</v>
      </c>
      <c r="BC27" s="405">
        <f t="shared" si="12"/>
        <v>234.50000000000003</v>
      </c>
      <c r="BD27" s="406">
        <f t="shared" si="12"/>
        <v>204.8</v>
      </c>
      <c r="BE27" s="406">
        <f t="shared" si="12"/>
        <v>140.99999999999997</v>
      </c>
      <c r="BF27" s="406">
        <f t="shared" si="12"/>
        <v>124.8</v>
      </c>
    </row>
    <row r="28" spans="1:58" s="175" customFormat="1" ht="11.25">
      <c r="A28" s="45"/>
      <c r="B28" s="45"/>
      <c r="C28" s="61"/>
      <c r="D28" s="62"/>
      <c r="E28" s="62"/>
      <c r="F28" s="62"/>
      <c r="G28" s="61"/>
      <c r="H28" s="62"/>
      <c r="I28" s="62"/>
      <c r="J28" s="70"/>
      <c r="K28" s="61"/>
      <c r="L28" s="62"/>
      <c r="M28" s="62"/>
      <c r="N28" s="70"/>
      <c r="O28" s="61"/>
      <c r="P28" s="62"/>
      <c r="Q28" s="62"/>
      <c r="R28" s="70"/>
      <c r="S28" s="61"/>
      <c r="T28" s="62"/>
      <c r="U28" s="62"/>
      <c r="V28" s="70"/>
      <c r="W28" s="61"/>
      <c r="X28" s="62"/>
      <c r="Y28" s="62"/>
      <c r="Z28" s="70"/>
      <c r="AA28" s="61"/>
      <c r="AB28" s="62"/>
      <c r="AC28" s="62"/>
      <c r="AD28" s="70"/>
      <c r="AE28" s="61"/>
      <c r="AF28" s="62"/>
      <c r="AG28" s="62"/>
      <c r="AH28" s="70"/>
      <c r="AI28" s="61"/>
      <c r="AJ28" s="62"/>
      <c r="AK28" s="62"/>
      <c r="AL28" s="62"/>
      <c r="AM28" s="61"/>
      <c r="AN28" s="62"/>
      <c r="AO28" s="62"/>
      <c r="AP28" s="62"/>
      <c r="AQ28" s="407"/>
      <c r="AR28" s="408"/>
      <c r="AS28" s="408"/>
      <c r="AT28" s="408"/>
      <c r="AU28" s="61"/>
      <c r="AV28" s="62"/>
      <c r="AW28" s="62"/>
      <c r="AX28" s="62"/>
      <c r="AY28" s="61"/>
      <c r="AZ28" s="62"/>
      <c r="BA28" s="62"/>
      <c r="BB28" s="62"/>
      <c r="BC28" s="61"/>
      <c r="BD28" s="62"/>
      <c r="BE28" s="62"/>
      <c r="BF28" s="62"/>
    </row>
    <row r="29" spans="1:58" s="176" customFormat="1" ht="11.25">
      <c r="A29" s="51" t="s">
        <v>157</v>
      </c>
      <c r="B29" s="51" t="s">
        <v>1</v>
      </c>
      <c r="C29" s="74">
        <f t="shared" ref="C29:AV29" si="13">C18-C27</f>
        <v>236.10000000000002</v>
      </c>
      <c r="D29" s="75">
        <f t="shared" si="13"/>
        <v>246.89999999999986</v>
      </c>
      <c r="E29" s="75">
        <f t="shared" si="13"/>
        <v>254.59999999999997</v>
      </c>
      <c r="F29" s="75">
        <f t="shared" si="13"/>
        <v>263.2</v>
      </c>
      <c r="G29" s="74">
        <f t="shared" si="13"/>
        <v>283.40302757000001</v>
      </c>
      <c r="H29" s="75">
        <f t="shared" si="13"/>
        <v>315.79263037999988</v>
      </c>
      <c r="I29" s="75">
        <f t="shared" si="13"/>
        <v>320.90466633000005</v>
      </c>
      <c r="J29" s="76">
        <f t="shared" si="13"/>
        <v>332.49967572000003</v>
      </c>
      <c r="K29" s="74">
        <f t="shared" si="13"/>
        <v>311.10000000000002</v>
      </c>
      <c r="L29" s="75">
        <f t="shared" si="13"/>
        <v>359</v>
      </c>
      <c r="M29" s="75">
        <f t="shared" si="13"/>
        <v>378.00000000000017</v>
      </c>
      <c r="N29" s="76">
        <f t="shared" si="13"/>
        <v>354.39999999999992</v>
      </c>
      <c r="O29" s="74">
        <f t="shared" si="13"/>
        <v>390.39999999999992</v>
      </c>
      <c r="P29" s="75">
        <f t="shared" si="13"/>
        <v>405.3</v>
      </c>
      <c r="Q29" s="75">
        <f t="shared" si="13"/>
        <v>410.20000000000005</v>
      </c>
      <c r="R29" s="76">
        <f t="shared" si="13"/>
        <v>421.7000000000001</v>
      </c>
      <c r="S29" s="74">
        <f t="shared" si="13"/>
        <v>434.89999999999981</v>
      </c>
      <c r="T29" s="75">
        <f t="shared" si="13"/>
        <v>459.50000000000006</v>
      </c>
      <c r="U29" s="75">
        <f t="shared" si="13"/>
        <v>477.40000000000003</v>
      </c>
      <c r="V29" s="76">
        <f t="shared" si="13"/>
        <v>479.7</v>
      </c>
      <c r="W29" s="74">
        <f t="shared" si="13"/>
        <v>513.50000000000011</v>
      </c>
      <c r="X29" s="75">
        <f t="shared" si="13"/>
        <v>514.09999999999991</v>
      </c>
      <c r="Y29" s="75">
        <f t="shared" si="13"/>
        <v>515.5</v>
      </c>
      <c r="Z29" s="76">
        <f t="shared" si="13"/>
        <v>505.80000000000007</v>
      </c>
      <c r="AA29" s="74">
        <f t="shared" si="13"/>
        <v>475.79999999999995</v>
      </c>
      <c r="AB29" s="75">
        <f t="shared" si="13"/>
        <v>495.29999999999995</v>
      </c>
      <c r="AC29" s="75">
        <f t="shared" si="13"/>
        <v>526.09999999999968</v>
      </c>
      <c r="AD29" s="76">
        <f t="shared" si="13"/>
        <v>545.4</v>
      </c>
      <c r="AE29" s="74">
        <f t="shared" si="13"/>
        <v>567.90000000000009</v>
      </c>
      <c r="AF29" s="75">
        <f t="shared" si="13"/>
        <v>582.19999999999982</v>
      </c>
      <c r="AG29" s="75">
        <f t="shared" si="13"/>
        <v>596.90000000000009</v>
      </c>
      <c r="AH29" s="76">
        <f t="shared" si="13"/>
        <v>583.19999999999993</v>
      </c>
      <c r="AI29" s="74">
        <f t="shared" si="13"/>
        <v>569</v>
      </c>
      <c r="AJ29" s="75">
        <f t="shared" si="13"/>
        <v>594.09999999999991</v>
      </c>
      <c r="AK29" s="75">
        <f t="shared" si="13"/>
        <v>644.6</v>
      </c>
      <c r="AL29" s="75">
        <f t="shared" si="13"/>
        <v>659.40000000000009</v>
      </c>
      <c r="AM29" s="74">
        <f t="shared" si="13"/>
        <v>668.1</v>
      </c>
      <c r="AN29" s="75">
        <f t="shared" si="13"/>
        <v>690.90000000000009</v>
      </c>
      <c r="AO29" s="75">
        <f t="shared" si="13"/>
        <v>784.90000000000009</v>
      </c>
      <c r="AP29" s="75">
        <f t="shared" si="13"/>
        <v>809.49999999999977</v>
      </c>
      <c r="AQ29" s="74">
        <f t="shared" si="13"/>
        <v>794.8</v>
      </c>
      <c r="AR29" s="75">
        <f t="shared" si="13"/>
        <v>830.49999999999989</v>
      </c>
      <c r="AS29" s="75">
        <f t="shared" si="13"/>
        <v>868.90000000000009</v>
      </c>
      <c r="AT29" s="75">
        <f t="shared" si="13"/>
        <v>895.20000000000027</v>
      </c>
      <c r="AU29" s="74">
        <f t="shared" si="13"/>
        <v>882.99999999999989</v>
      </c>
      <c r="AV29" s="75">
        <f t="shared" si="13"/>
        <v>920</v>
      </c>
      <c r="AW29" s="75">
        <f t="shared" ref="AW29:AY29" si="14">AW18-AW27</f>
        <v>961.2</v>
      </c>
      <c r="AX29" s="75">
        <f t="shared" si="14"/>
        <v>995.09999999999991</v>
      </c>
      <c r="AY29" s="74">
        <f t="shared" si="14"/>
        <v>1020.1999999999999</v>
      </c>
      <c r="AZ29" s="75">
        <f t="shared" ref="AZ29:BA29" si="15">AZ18-AZ27</f>
        <v>1053.1999999999998</v>
      </c>
      <c r="BA29" s="75">
        <f t="shared" si="15"/>
        <v>1127.8</v>
      </c>
      <c r="BB29" s="75">
        <f t="shared" ref="BB29:BC29" si="16">BB18-BB27</f>
        <v>1123.8999999999996</v>
      </c>
      <c r="BC29" s="74">
        <f t="shared" si="16"/>
        <v>1152.1000000000001</v>
      </c>
      <c r="BD29" s="75">
        <f t="shared" ref="BD29:BF29" si="17">BD18-BD27</f>
        <v>1099.2</v>
      </c>
      <c r="BE29" s="75">
        <f t="shared" si="17"/>
        <v>1136.3</v>
      </c>
      <c r="BF29" s="75">
        <f t="shared" si="17"/>
        <v>1154.2</v>
      </c>
    </row>
    <row r="30" spans="1:58">
      <c r="A30" s="13"/>
      <c r="B30" s="13"/>
    </row>
    <row r="31" spans="1:58">
      <c r="A31" s="13"/>
      <c r="B31" s="13"/>
    </row>
    <row r="32" spans="1:58">
      <c r="A32" s="13"/>
      <c r="B32" s="13"/>
    </row>
    <row r="33" spans="1:2">
      <c r="A33" s="13"/>
      <c r="B33" s="13"/>
    </row>
    <row r="34" spans="1:2">
      <c r="A34" s="13"/>
      <c r="B34" s="13"/>
    </row>
    <row r="35" spans="1:2">
      <c r="A35" s="13"/>
      <c r="B35" s="13"/>
    </row>
    <row r="36" spans="1:2">
      <c r="A36" s="13"/>
      <c r="B36" s="13"/>
    </row>
    <row r="37" spans="1:2">
      <c r="A37" s="13"/>
      <c r="B37" s="13"/>
    </row>
    <row r="38" spans="1:2">
      <c r="A38" s="13"/>
      <c r="B38" s="13"/>
    </row>
    <row r="39" spans="1:2">
      <c r="A39" s="13"/>
      <c r="B39" s="13"/>
    </row>
    <row r="40" spans="1:2">
      <c r="A40" s="13"/>
      <c r="B40" s="13"/>
    </row>
    <row r="41" spans="1:2">
      <c r="A41" s="13"/>
      <c r="B41" s="13"/>
    </row>
    <row r="42" spans="1:2">
      <c r="A42" s="13"/>
      <c r="B42" s="13"/>
    </row>
    <row r="43" spans="1:2">
      <c r="A43" s="13"/>
      <c r="B43" s="13"/>
    </row>
    <row r="44" spans="1:2">
      <c r="A44" s="13"/>
      <c r="B44" s="13"/>
    </row>
    <row r="45" spans="1:2">
      <c r="A45" s="13"/>
      <c r="B45" s="13"/>
    </row>
    <row r="46" spans="1:2">
      <c r="A46" s="13"/>
      <c r="B46" s="13"/>
    </row>
    <row r="47" spans="1:2">
      <c r="A47" s="13"/>
      <c r="B47" s="13"/>
    </row>
    <row r="48" spans="1:2">
      <c r="A48" s="13"/>
      <c r="B48" s="13"/>
    </row>
    <row r="49" spans="1:2">
      <c r="A49" s="13"/>
      <c r="B49" s="13"/>
    </row>
    <row r="50" spans="1:2">
      <c r="A50" s="13"/>
      <c r="B50" s="13"/>
    </row>
    <row r="51" spans="1:2">
      <c r="A51" s="13"/>
      <c r="B51" s="13"/>
    </row>
    <row r="52" spans="1:2">
      <c r="A52" s="13"/>
      <c r="B52" s="13"/>
    </row>
    <row r="53" spans="1:2">
      <c r="A53" s="13"/>
      <c r="B53" s="13"/>
    </row>
    <row r="54" spans="1:2">
      <c r="A54" s="13"/>
      <c r="B54" s="13"/>
    </row>
    <row r="55" spans="1:2">
      <c r="A55" s="13"/>
      <c r="B55" s="13"/>
    </row>
    <row r="56" spans="1:2">
      <c r="A56" s="13"/>
      <c r="B56" s="13"/>
    </row>
    <row r="57" spans="1:2">
      <c r="A57" s="13"/>
      <c r="B57" s="13"/>
    </row>
  </sheetData>
  <mergeCells count="20">
    <mergeCell ref="BC2:BF2"/>
    <mergeCell ref="A2:A3"/>
    <mergeCell ref="B2:B3"/>
    <mergeCell ref="C2:F2"/>
    <mergeCell ref="G2:J2"/>
    <mergeCell ref="K2:N2"/>
    <mergeCell ref="AE2:AH2"/>
    <mergeCell ref="AA2:AD2"/>
    <mergeCell ref="AY2:BB2"/>
    <mergeCell ref="AU2:AX2"/>
    <mergeCell ref="AQ2:AT2"/>
    <mergeCell ref="AM2:AP2"/>
    <mergeCell ref="AI2:AL2"/>
    <mergeCell ref="C12:C15"/>
    <mergeCell ref="D12:D15"/>
    <mergeCell ref="E12:E15"/>
    <mergeCell ref="F12:F15"/>
    <mergeCell ref="W2:Z2"/>
    <mergeCell ref="S2:V2"/>
    <mergeCell ref="O2:R2"/>
  </mergeCells>
  <printOptions horizontalCentered="1"/>
  <pageMargins left="0.23622047244094491" right="0.23622047244094491" top="0.74803149606299213" bottom="0.74803149606299213" header="0.31496062992125984" footer="0.31496062992125984"/>
  <pageSetup paperSize="9" scale="33" fitToHeight="0" orientation="landscape" r:id="rId1"/>
  <headerFooter alignWithMargins="0">
    <oddHeader xml:space="preserve">&amp;C&amp;"Times New Roman,Kursywa"&amp;12
</oddHeader>
  </headerFooter>
  <ignoredErrors>
    <ignoredError sqref="C27:Z27" formulaRange="1"/>
    <ignoredError sqref="I17 S17" 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F59"/>
  <sheetViews>
    <sheetView showGridLines="0" view="pageBreakPreview" zoomScaleNormal="100" zoomScaleSheetLayoutView="100" zoomScalePageLayoutView="80" workbookViewId="0">
      <pane xSplit="2" ySplit="4" topLeftCell="AV5" activePane="bottomRight" state="frozen"/>
      <selection activeCell="B1" sqref="B1"/>
      <selection pane="topRight" activeCell="C1" sqref="C1"/>
      <selection pane="bottomLeft" activeCell="B5" sqref="B5"/>
      <selection pane="bottomRight" activeCell="BC2" sqref="BC2:BF2"/>
    </sheetView>
  </sheetViews>
  <sheetFormatPr defaultColWidth="8.85546875" defaultRowHeight="13.5"/>
  <cols>
    <col min="1" max="1" width="49.85546875" style="326" bestFit="1" customWidth="1"/>
    <col min="2" max="2" width="66" style="326" bestFit="1" customWidth="1"/>
    <col min="3" max="35" width="7" style="63" bestFit="1" customWidth="1"/>
    <col min="36" max="49" width="7.85546875" style="63" bestFit="1" customWidth="1"/>
    <col min="50" max="50" width="7.85546875" style="13" bestFit="1" customWidth="1"/>
    <col min="51" max="53" width="7.85546875" style="63" bestFit="1" customWidth="1"/>
    <col min="54" max="54" width="7.85546875" style="13" bestFit="1" customWidth="1"/>
    <col min="55" max="57" width="7.85546875" style="63" bestFit="1" customWidth="1"/>
    <col min="58" max="58" width="7.85546875" style="13" bestFit="1" customWidth="1"/>
    <col min="59" max="16384" width="8.85546875" style="13"/>
  </cols>
  <sheetData>
    <row r="1" spans="1:58" s="14" customFormat="1" ht="12.75" customHeight="1">
      <c r="A1" s="18" t="s">
        <v>542</v>
      </c>
      <c r="B1" s="18" t="s">
        <v>537</v>
      </c>
      <c r="C1" s="69"/>
      <c r="D1" s="69"/>
      <c r="E1" s="69"/>
      <c r="F1" s="69"/>
      <c r="G1" s="69"/>
      <c r="H1" s="80"/>
      <c r="I1" s="69"/>
      <c r="J1" s="69"/>
      <c r="K1" s="69"/>
      <c r="L1" s="69"/>
      <c r="M1" s="69"/>
      <c r="N1" s="69"/>
      <c r="O1" s="69"/>
      <c r="P1" s="69"/>
      <c r="Q1" s="69"/>
      <c r="R1" s="69"/>
      <c r="S1" s="69"/>
      <c r="T1" s="69"/>
      <c r="U1" s="69"/>
      <c r="V1" s="69"/>
      <c r="W1" s="69"/>
      <c r="X1" s="69"/>
      <c r="Y1" s="69"/>
      <c r="Z1" s="69"/>
      <c r="AA1" s="69"/>
      <c r="AB1" s="69"/>
      <c r="AC1" s="69"/>
      <c r="AD1" s="69"/>
      <c r="AE1" s="69"/>
      <c r="AF1" s="69"/>
      <c r="AG1" s="69"/>
      <c r="AH1" s="69"/>
      <c r="AI1" s="69"/>
      <c r="AJ1" s="69"/>
      <c r="AK1" s="69"/>
      <c r="AL1" s="69"/>
      <c r="AM1" s="69"/>
      <c r="AN1" s="69"/>
      <c r="AO1" s="69"/>
      <c r="AP1" s="69"/>
      <c r="AQ1" s="69"/>
      <c r="AR1" s="69"/>
      <c r="AS1" s="69"/>
      <c r="AT1" s="69"/>
      <c r="AU1" s="69"/>
      <c r="AV1" s="69"/>
      <c r="AW1" s="69"/>
      <c r="AY1" s="69"/>
      <c r="AZ1" s="69"/>
      <c r="BA1" s="69"/>
      <c r="BC1" s="69"/>
      <c r="BD1" s="69"/>
      <c r="BE1" s="69"/>
    </row>
    <row r="2" spans="1:58" ht="13.5" customHeight="1">
      <c r="A2" s="639" t="s">
        <v>797</v>
      </c>
      <c r="B2" s="639" t="s">
        <v>796</v>
      </c>
      <c r="C2" s="636">
        <v>2007</v>
      </c>
      <c r="D2" s="641"/>
      <c r="E2" s="641"/>
      <c r="F2" s="641"/>
      <c r="G2" s="636">
        <v>2008</v>
      </c>
      <c r="H2" s="641"/>
      <c r="I2" s="641"/>
      <c r="J2" s="641"/>
      <c r="K2" s="636">
        <v>2009</v>
      </c>
      <c r="L2" s="641"/>
      <c r="M2" s="641"/>
      <c r="N2" s="641"/>
      <c r="O2" s="636">
        <v>2010</v>
      </c>
      <c r="P2" s="641"/>
      <c r="Q2" s="641"/>
      <c r="R2" s="641"/>
      <c r="S2" s="636">
        <v>2011</v>
      </c>
      <c r="T2" s="641"/>
      <c r="U2" s="641"/>
      <c r="V2" s="641"/>
      <c r="W2" s="636">
        <v>2012</v>
      </c>
      <c r="X2" s="641"/>
      <c r="Y2" s="641"/>
      <c r="Z2" s="642"/>
      <c r="AA2" s="636">
        <v>2013</v>
      </c>
      <c r="AB2" s="641"/>
      <c r="AC2" s="641"/>
      <c r="AD2" s="642"/>
      <c r="AE2" s="636">
        <v>2014</v>
      </c>
      <c r="AF2" s="641"/>
      <c r="AG2" s="641"/>
      <c r="AH2" s="642"/>
      <c r="AI2" s="636">
        <v>2015</v>
      </c>
      <c r="AJ2" s="641"/>
      <c r="AK2" s="641"/>
      <c r="AL2" s="641"/>
      <c r="AM2" s="636">
        <v>2016</v>
      </c>
      <c r="AN2" s="641"/>
      <c r="AO2" s="641"/>
      <c r="AP2" s="641"/>
      <c r="AQ2" s="645">
        <v>2017</v>
      </c>
      <c r="AR2" s="641"/>
      <c r="AS2" s="641"/>
      <c r="AT2" s="641"/>
      <c r="AU2" s="645">
        <v>2018</v>
      </c>
      <c r="AV2" s="641"/>
      <c r="AW2" s="652"/>
      <c r="AX2" s="652"/>
      <c r="AY2" s="645">
        <v>2019</v>
      </c>
      <c r="AZ2" s="641"/>
      <c r="BA2" s="652"/>
      <c r="BB2" s="652"/>
      <c r="BC2" s="645">
        <v>2020</v>
      </c>
      <c r="BD2" s="641"/>
      <c r="BE2" s="652"/>
      <c r="BF2" s="652"/>
    </row>
    <row r="3" spans="1:58" s="14" customFormat="1" ht="13.5" customHeight="1">
      <c r="A3" s="640"/>
      <c r="B3" s="640"/>
      <c r="C3" s="20" t="s">
        <v>149</v>
      </c>
      <c r="D3" s="21" t="s">
        <v>150</v>
      </c>
      <c r="E3" s="21" t="s">
        <v>151</v>
      </c>
      <c r="F3" s="21" t="s">
        <v>152</v>
      </c>
      <c r="G3" s="20" t="s">
        <v>149</v>
      </c>
      <c r="H3" s="21" t="s">
        <v>150</v>
      </c>
      <c r="I3" s="21" t="s">
        <v>151</v>
      </c>
      <c r="J3" s="21" t="s">
        <v>152</v>
      </c>
      <c r="K3" s="20" t="s">
        <v>149</v>
      </c>
      <c r="L3" s="21" t="s">
        <v>150</v>
      </c>
      <c r="M3" s="21" t="s">
        <v>151</v>
      </c>
      <c r="N3" s="21" t="s">
        <v>152</v>
      </c>
      <c r="O3" s="20" t="s">
        <v>149</v>
      </c>
      <c r="P3" s="21" t="s">
        <v>150</v>
      </c>
      <c r="Q3" s="21" t="s">
        <v>151</v>
      </c>
      <c r="R3" s="21" t="s">
        <v>152</v>
      </c>
      <c r="S3" s="20" t="s">
        <v>149</v>
      </c>
      <c r="T3" s="21" t="s">
        <v>150</v>
      </c>
      <c r="U3" s="21" t="s">
        <v>151</v>
      </c>
      <c r="V3" s="21" t="s">
        <v>152</v>
      </c>
      <c r="W3" s="20" t="s">
        <v>149</v>
      </c>
      <c r="X3" s="21" t="s">
        <v>150</v>
      </c>
      <c r="Y3" s="21" t="s">
        <v>151</v>
      </c>
      <c r="Z3" s="43" t="s">
        <v>152</v>
      </c>
      <c r="AA3" s="20" t="s">
        <v>149</v>
      </c>
      <c r="AB3" s="21" t="s">
        <v>150</v>
      </c>
      <c r="AC3" s="21" t="s">
        <v>151</v>
      </c>
      <c r="AD3" s="43" t="s">
        <v>152</v>
      </c>
      <c r="AE3" s="20" t="s">
        <v>149</v>
      </c>
      <c r="AF3" s="21" t="s">
        <v>150</v>
      </c>
      <c r="AG3" s="21" t="s">
        <v>151</v>
      </c>
      <c r="AH3" s="21" t="s">
        <v>152</v>
      </c>
      <c r="AI3" s="20" t="s">
        <v>149</v>
      </c>
      <c r="AJ3" s="21" t="s">
        <v>150</v>
      </c>
      <c r="AK3" s="21" t="s">
        <v>151</v>
      </c>
      <c r="AL3" s="21" t="s">
        <v>152</v>
      </c>
      <c r="AM3" s="20" t="s">
        <v>149</v>
      </c>
      <c r="AN3" s="21" t="s">
        <v>150</v>
      </c>
      <c r="AO3" s="21" t="s">
        <v>151</v>
      </c>
      <c r="AP3" s="21" t="s">
        <v>152</v>
      </c>
      <c r="AQ3" s="20" t="s">
        <v>149</v>
      </c>
      <c r="AR3" s="21" t="s">
        <v>150</v>
      </c>
      <c r="AS3" s="21" t="s">
        <v>151</v>
      </c>
      <c r="AT3" s="21" t="s">
        <v>152</v>
      </c>
      <c r="AU3" s="20" t="s">
        <v>149</v>
      </c>
      <c r="AV3" s="21" t="s">
        <v>150</v>
      </c>
      <c r="AW3" s="21" t="s">
        <v>151</v>
      </c>
      <c r="AX3" s="21" t="s">
        <v>152</v>
      </c>
      <c r="AY3" s="20" t="s">
        <v>149</v>
      </c>
      <c r="AZ3" s="21" t="s">
        <v>150</v>
      </c>
      <c r="BA3" s="21" t="s">
        <v>151</v>
      </c>
      <c r="BB3" s="21" t="s">
        <v>152</v>
      </c>
      <c r="BC3" s="20" t="s">
        <v>149</v>
      </c>
      <c r="BD3" s="21" t="s">
        <v>150</v>
      </c>
      <c r="BE3" s="21" t="s">
        <v>151</v>
      </c>
      <c r="BF3" s="21" t="s">
        <v>152</v>
      </c>
    </row>
    <row r="4" spans="1:58" s="172" customFormat="1" ht="12.75" customHeight="1">
      <c r="A4" s="22" t="s">
        <v>154</v>
      </c>
      <c r="B4" s="22" t="s">
        <v>11</v>
      </c>
      <c r="C4" s="111"/>
      <c r="D4" s="112"/>
      <c r="E4" s="22"/>
      <c r="F4" s="112"/>
      <c r="G4" s="111"/>
      <c r="H4" s="112"/>
      <c r="I4" s="22"/>
      <c r="J4" s="113"/>
      <c r="K4" s="111"/>
      <c r="L4" s="112"/>
      <c r="M4" s="22"/>
      <c r="N4" s="113"/>
      <c r="O4" s="111"/>
      <c r="P4" s="112"/>
      <c r="Q4" s="22"/>
      <c r="R4" s="113"/>
      <c r="S4" s="111"/>
      <c r="T4" s="112"/>
      <c r="U4" s="22"/>
      <c r="V4" s="113"/>
      <c r="W4" s="111"/>
      <c r="X4" s="22"/>
      <c r="Y4" s="22"/>
      <c r="Z4" s="114"/>
      <c r="AA4" s="111"/>
      <c r="AB4" s="22"/>
      <c r="AC4" s="22"/>
      <c r="AD4" s="114"/>
      <c r="AE4" s="111"/>
      <c r="AF4" s="22"/>
      <c r="AG4" s="22"/>
      <c r="AH4" s="22"/>
      <c r="AI4" s="111"/>
      <c r="AJ4" s="22"/>
      <c r="AK4" s="22"/>
      <c r="AL4" s="22"/>
      <c r="AM4" s="111"/>
      <c r="AN4" s="22"/>
      <c r="AO4" s="22"/>
      <c r="AP4" s="22"/>
      <c r="AQ4" s="111"/>
      <c r="AR4" s="22"/>
      <c r="AS4" s="22"/>
      <c r="AT4" s="22"/>
      <c r="AU4" s="111"/>
      <c r="AV4" s="22"/>
      <c r="AW4" s="22"/>
      <c r="AX4" s="22"/>
      <c r="AY4" s="111"/>
      <c r="AZ4" s="22"/>
      <c r="BA4" s="22"/>
      <c r="BB4" s="22"/>
      <c r="BC4" s="111"/>
      <c r="BD4" s="22"/>
      <c r="BE4" s="22"/>
      <c r="BF4" s="22"/>
    </row>
    <row r="5" spans="1:58" s="424" customFormat="1" ht="11.25">
      <c r="A5" s="421" t="s">
        <v>798</v>
      </c>
      <c r="B5" s="421" t="s">
        <v>799</v>
      </c>
      <c r="C5" s="405">
        <f>+C6+C7+C8+C9+C10</f>
        <v>53515.4</v>
      </c>
      <c r="D5" s="406">
        <f t="shared" ref="D5:AX5" si="0">+D6+D7+D8+D9+D10</f>
        <v>49241.7</v>
      </c>
      <c r="E5" s="406">
        <f t="shared" si="0"/>
        <v>50380</v>
      </c>
      <c r="F5" s="406">
        <f t="shared" si="0"/>
        <v>48863.199999999997</v>
      </c>
      <c r="G5" s="405">
        <f t="shared" si="0"/>
        <v>57296.200000000004</v>
      </c>
      <c r="H5" s="406">
        <f t="shared" si="0"/>
        <v>57611.3</v>
      </c>
      <c r="I5" s="406">
        <f t="shared" si="0"/>
        <v>61830.3</v>
      </c>
      <c r="J5" s="510">
        <f t="shared" si="0"/>
        <v>66906.5</v>
      </c>
      <c r="K5" s="405">
        <f t="shared" si="0"/>
        <v>65246.899999999994</v>
      </c>
      <c r="L5" s="406">
        <f t="shared" si="0"/>
        <v>62225.599999999999</v>
      </c>
      <c r="M5" s="406">
        <f t="shared" si="0"/>
        <v>61220</v>
      </c>
      <c r="N5" s="510">
        <f t="shared" si="0"/>
        <v>55868</v>
      </c>
      <c r="O5" s="405">
        <f t="shared" si="0"/>
        <v>58358.399999999994</v>
      </c>
      <c r="P5" s="406">
        <f t="shared" si="0"/>
        <v>58025.3</v>
      </c>
      <c r="Q5" s="406">
        <f t="shared" si="0"/>
        <v>59475.9</v>
      </c>
      <c r="R5" s="510">
        <f t="shared" si="0"/>
        <v>60620.2</v>
      </c>
      <c r="S5" s="405">
        <f t="shared" si="0"/>
        <v>62861.599999999999</v>
      </c>
      <c r="T5" s="406">
        <f t="shared" si="0"/>
        <v>64453.700000000004</v>
      </c>
      <c r="U5" s="406">
        <f t="shared" si="0"/>
        <v>68132</v>
      </c>
      <c r="V5" s="510">
        <f t="shared" si="0"/>
        <v>66729.899999999994</v>
      </c>
      <c r="W5" s="405">
        <f t="shared" si="0"/>
        <v>69162.899999999994</v>
      </c>
      <c r="X5" s="406">
        <f t="shared" si="0"/>
        <v>66360</v>
      </c>
      <c r="Y5" s="406">
        <f t="shared" si="0"/>
        <v>69949.3</v>
      </c>
      <c r="Z5" s="510">
        <f t="shared" si="0"/>
        <v>72732.799999999988</v>
      </c>
      <c r="AA5" s="405">
        <f t="shared" si="0"/>
        <v>72774.600000000006</v>
      </c>
      <c r="AB5" s="406">
        <f t="shared" si="0"/>
        <v>78624.600000000006</v>
      </c>
      <c r="AC5" s="406">
        <f t="shared" si="0"/>
        <v>78580.5</v>
      </c>
      <c r="AD5" s="510">
        <f t="shared" si="0"/>
        <v>78244.800000000003</v>
      </c>
      <c r="AE5" s="405">
        <f t="shared" si="0"/>
        <v>83367.100000000006</v>
      </c>
      <c r="AF5" s="406">
        <f t="shared" si="0"/>
        <v>88783.099999999991</v>
      </c>
      <c r="AG5" s="406">
        <f t="shared" si="0"/>
        <v>92233.7</v>
      </c>
      <c r="AH5" s="510">
        <f t="shared" si="0"/>
        <v>93081.9</v>
      </c>
      <c r="AI5" s="405">
        <f t="shared" si="0"/>
        <v>98660.1</v>
      </c>
      <c r="AJ5" s="406">
        <f t="shared" si="0"/>
        <v>100943.5</v>
      </c>
      <c r="AK5" s="406">
        <f t="shared" si="0"/>
        <v>106852.4</v>
      </c>
      <c r="AL5" s="406">
        <f t="shared" si="0"/>
        <v>103940.2</v>
      </c>
      <c r="AM5" s="405">
        <f t="shared" si="0"/>
        <v>107794.79999999999</v>
      </c>
      <c r="AN5" s="406">
        <f t="shared" si="0"/>
        <v>112912.4</v>
      </c>
      <c r="AO5" s="406">
        <f t="shared" si="0"/>
        <v>113815</v>
      </c>
      <c r="AP5" s="406">
        <f t="shared" si="0"/>
        <v>114096.70000000001</v>
      </c>
      <c r="AQ5" s="405">
        <f t="shared" si="0"/>
        <v>116069.8</v>
      </c>
      <c r="AR5" s="406">
        <f t="shared" si="0"/>
        <v>117255</v>
      </c>
      <c r="AS5" s="406">
        <f t="shared" si="0"/>
        <v>119021.6</v>
      </c>
      <c r="AT5" s="406">
        <f t="shared" si="0"/>
        <v>121445.1</v>
      </c>
      <c r="AU5" s="405">
        <f t="shared" si="0"/>
        <v>123906.6</v>
      </c>
      <c r="AV5" s="406">
        <f t="shared" si="0"/>
        <v>127551.20000000001</v>
      </c>
      <c r="AW5" s="406">
        <f t="shared" si="0"/>
        <v>131062.3</v>
      </c>
      <c r="AX5" s="406">
        <f t="shared" si="0"/>
        <v>138684.1</v>
      </c>
      <c r="AY5" s="405">
        <f t="shared" ref="AY5:AZ5" si="1">+AY6+AY7+AY8+AY9+AY10</f>
        <v>141516.20000000001</v>
      </c>
      <c r="AZ5" s="406">
        <f t="shared" si="1"/>
        <v>146185.4</v>
      </c>
      <c r="BA5" s="406">
        <f t="shared" ref="BA5:BC5" si="2">+BA6+BA7+BA8+BA9+BA10</f>
        <v>150724.29999999999</v>
      </c>
      <c r="BB5" s="406">
        <f t="shared" si="2"/>
        <v>154986.9</v>
      </c>
      <c r="BC5" s="405">
        <f t="shared" si="2"/>
        <v>167325.6</v>
      </c>
      <c r="BD5" s="406">
        <f t="shared" ref="BD5:BE5" si="3">+BD6+BD7+BD8+BD9+BD10</f>
        <v>176627.5</v>
      </c>
      <c r="BE5" s="406">
        <f t="shared" si="3"/>
        <v>181510.7</v>
      </c>
      <c r="BF5" s="406">
        <f t="shared" ref="BF5" si="4">+BF6+BF7+BF8+BF9+BF10</f>
        <v>183505.9</v>
      </c>
    </row>
    <row r="6" spans="1:58" s="424" customFormat="1" ht="11.25">
      <c r="A6" s="411" t="str">
        <f>Bilans_BS!A7</f>
        <v xml:space="preserve"> - Loans and receivables to other banks</v>
      </c>
      <c r="B6" s="411" t="str">
        <f>Bilans_BS!B7</f>
        <v xml:space="preserve">   - Kredyty i inne należności udzielone innym bankom</v>
      </c>
      <c r="C6" s="407">
        <f>Bilans_BS!C7</f>
        <v>16614.2</v>
      </c>
      <c r="D6" s="408">
        <f>Bilans_BS!D7</f>
        <v>18078.900000000001</v>
      </c>
      <c r="E6" s="408">
        <f>Bilans_BS!E7</f>
        <v>17532.8</v>
      </c>
      <c r="F6" s="408">
        <f>Bilans_BS!F7</f>
        <v>15183.7</v>
      </c>
      <c r="G6" s="407">
        <f>Bilans_BS!G7</f>
        <v>14080.6</v>
      </c>
      <c r="H6" s="408">
        <f>Bilans_BS!H7</f>
        <v>9002</v>
      </c>
      <c r="I6" s="408">
        <f>Bilans_BS!I7</f>
        <v>7244.5</v>
      </c>
      <c r="J6" s="504">
        <f>Bilans_BS!J7</f>
        <v>7787.2</v>
      </c>
      <c r="K6" s="407">
        <f>Bilans_BS!K7</f>
        <v>2947.5</v>
      </c>
      <c r="L6" s="408">
        <f>Bilans_BS!L7</f>
        <v>3233.7</v>
      </c>
      <c r="M6" s="408">
        <f>Bilans_BS!M7</f>
        <v>3639.9</v>
      </c>
      <c r="N6" s="504">
        <f>Bilans_BS!N7</f>
        <v>1184.0999999999999</v>
      </c>
      <c r="O6" s="407">
        <f>Bilans_BS!O7</f>
        <v>1280.7</v>
      </c>
      <c r="P6" s="408">
        <f>Bilans_BS!P7</f>
        <v>1940.1</v>
      </c>
      <c r="Q6" s="408">
        <f>Bilans_BS!Q7</f>
        <v>1859.2</v>
      </c>
      <c r="R6" s="504">
        <f>Bilans_BS!R7</f>
        <v>1181.0999999999999</v>
      </c>
      <c r="S6" s="407">
        <f>Bilans_BS!S7</f>
        <v>2386.8000000000002</v>
      </c>
      <c r="T6" s="408">
        <f>Bilans_BS!T7</f>
        <v>1758.3</v>
      </c>
      <c r="U6" s="408">
        <f>Bilans_BS!U7</f>
        <v>2706.4</v>
      </c>
      <c r="V6" s="504">
        <f>Bilans_BS!V7</f>
        <v>1018.1</v>
      </c>
      <c r="W6" s="407">
        <f>Bilans_BS!W7</f>
        <v>1478.4</v>
      </c>
      <c r="X6" s="408">
        <f>Bilans_BS!X7</f>
        <v>1605.3000000000002</v>
      </c>
      <c r="Y6" s="408">
        <f>Bilans_BS!Y7</f>
        <v>3415.4999999999995</v>
      </c>
      <c r="Z6" s="504">
        <f>Bilans_BS!Z7</f>
        <v>1377.0999999999997</v>
      </c>
      <c r="AA6" s="407">
        <f>Bilans_BS!AA7</f>
        <v>1600.2999999999995</v>
      </c>
      <c r="AB6" s="408">
        <f>Bilans_BS!AB7</f>
        <v>2043.8000000000002</v>
      </c>
      <c r="AC6" s="408">
        <f>Bilans_BS!AC7</f>
        <v>2501.6999999999998</v>
      </c>
      <c r="AD6" s="504">
        <f>Bilans_BS!AD7</f>
        <v>1399.8000000000002</v>
      </c>
      <c r="AE6" s="407">
        <f>Bilans_BS!AE7</f>
        <v>2050.9</v>
      </c>
      <c r="AF6" s="408">
        <f>Bilans_BS!AF7</f>
        <v>2576.1000000000004</v>
      </c>
      <c r="AG6" s="408">
        <f>Bilans_BS!AG7</f>
        <v>2512.6000000000008</v>
      </c>
      <c r="AH6" s="504">
        <f>Bilans_BS!AH7</f>
        <v>1838.3000000000002</v>
      </c>
      <c r="AI6" s="407">
        <f>Bilans_BS!AI7</f>
        <v>2111.2999999999997</v>
      </c>
      <c r="AJ6" s="408">
        <f>Bilans_BS!AJ7</f>
        <v>2315.4</v>
      </c>
      <c r="AK6" s="408">
        <f>Bilans_BS!AK7</f>
        <v>3325.7</v>
      </c>
      <c r="AL6" s="408">
        <f>Bilans_BS!AL7</f>
        <v>1014.6</v>
      </c>
      <c r="AM6" s="407">
        <f>Bilans_BS!AM7</f>
        <v>954.3</v>
      </c>
      <c r="AN6" s="408">
        <f>Bilans_BS!AN7</f>
        <v>1285.4000000000001</v>
      </c>
      <c r="AO6" s="408">
        <f>Bilans_BS!AO7</f>
        <v>1192.7</v>
      </c>
      <c r="AP6" s="408">
        <f>Bilans_BS!AP7</f>
        <v>1113.4000000000001</v>
      </c>
      <c r="AQ6" s="407">
        <f>Bilans_BS!AQ7</f>
        <v>1125.7</v>
      </c>
      <c r="AR6" s="408">
        <f>Bilans_BS!AR7</f>
        <v>1050.2</v>
      </c>
      <c r="AS6" s="408">
        <f>Bilans_BS!AS7</f>
        <v>1174.7</v>
      </c>
      <c r="AT6" s="408">
        <f>Bilans_BS!AT7</f>
        <v>2234.5</v>
      </c>
      <c r="AU6" s="407">
        <f>Bilans_BS!AU7</f>
        <v>2017.4</v>
      </c>
      <c r="AV6" s="408">
        <f>Bilans_BS!AV7</f>
        <v>951.8</v>
      </c>
      <c r="AW6" s="408">
        <f>Bilans_BS!AW7</f>
        <v>621.79999999999995</v>
      </c>
      <c r="AX6" s="408">
        <f>Bilans_BS!AX7</f>
        <v>776.5</v>
      </c>
      <c r="AY6" s="407">
        <f>Bilans_BS!AY7</f>
        <v>987.9</v>
      </c>
      <c r="AZ6" s="408">
        <f>Bilans_BS!AZ7</f>
        <v>694.3</v>
      </c>
      <c r="BA6" s="408">
        <f>Bilans_BS!BA7</f>
        <v>804.7</v>
      </c>
      <c r="BB6" s="408">
        <f>Bilans_BS!BB7</f>
        <v>798.5</v>
      </c>
      <c r="BC6" s="407">
        <f>Bilans_BS!BC7</f>
        <v>1082.3</v>
      </c>
      <c r="BD6" s="408">
        <f>Bilans_BS!BD7</f>
        <v>744.4</v>
      </c>
      <c r="BE6" s="408">
        <f>Bilans_BS!BE7</f>
        <v>731.3</v>
      </c>
      <c r="BF6" s="408">
        <f>Bilans_BS!BF7</f>
        <v>704.6</v>
      </c>
    </row>
    <row r="7" spans="1:58" s="424" customFormat="1" ht="22.5">
      <c r="A7" s="411" t="str">
        <f>Bilans_BS!A8</f>
        <v xml:space="preserve"> - Financial assets held for trading / Financial assets at fair value through profit or loss</v>
      </c>
      <c r="B7" s="411" t="str">
        <f>Bilans_BS!B8</f>
        <v xml:space="preserve">   - Aktywa przeznaczone do obrotu / Aktywa finansowe wyceniane według wartości godziwej przez wynik finansowy</v>
      </c>
      <c r="C7" s="407">
        <f>Bilans_BS!C8</f>
        <v>11114.9</v>
      </c>
      <c r="D7" s="408">
        <f>Bilans_BS!D8</f>
        <v>6998</v>
      </c>
      <c r="E7" s="408">
        <f>Bilans_BS!E8</f>
        <v>8243.9</v>
      </c>
      <c r="F7" s="408">
        <f>Bilans_BS!F8</f>
        <v>7907.5</v>
      </c>
      <c r="G7" s="407">
        <f>Bilans_BS!G8</f>
        <v>11238.7</v>
      </c>
      <c r="H7" s="408">
        <f>Bilans_BS!H8</f>
        <v>11160.1</v>
      </c>
      <c r="I7" s="408">
        <f>Bilans_BS!I8</f>
        <v>12817.9</v>
      </c>
      <c r="J7" s="504">
        <f>Bilans_BS!J8</f>
        <v>15128.599999999999</v>
      </c>
      <c r="K7" s="407">
        <f>Bilans_BS!K8</f>
        <v>17144.8</v>
      </c>
      <c r="L7" s="408">
        <f>Bilans_BS!L8</f>
        <v>14064.1</v>
      </c>
      <c r="M7" s="408">
        <f>Bilans_BS!M8</f>
        <v>14131</v>
      </c>
      <c r="N7" s="504">
        <f>Bilans_BS!N8</f>
        <v>9834.4000000000015</v>
      </c>
      <c r="O7" s="407">
        <f>Bilans_BS!O8</f>
        <v>5166.7</v>
      </c>
      <c r="P7" s="408">
        <f>Bilans_BS!P8</f>
        <v>3207.2</v>
      </c>
      <c r="Q7" s="408">
        <f>Bilans_BS!Q8</f>
        <v>5473.6</v>
      </c>
      <c r="R7" s="504">
        <f>Bilans_BS!R8</f>
        <v>1818.5</v>
      </c>
      <c r="S7" s="407">
        <f>Bilans_BS!S8</f>
        <v>1456</v>
      </c>
      <c r="T7" s="408">
        <f>Bilans_BS!T8</f>
        <v>1485.1</v>
      </c>
      <c r="U7" s="408">
        <f>Bilans_BS!U8</f>
        <v>2902.5</v>
      </c>
      <c r="V7" s="504">
        <f>Bilans_BS!V8</f>
        <v>2498</v>
      </c>
      <c r="W7" s="407">
        <f>Bilans_BS!W8</f>
        <v>2719.6000000000004</v>
      </c>
      <c r="X7" s="408">
        <f>Bilans_BS!X8</f>
        <v>2026.6000000000001</v>
      </c>
      <c r="Y7" s="408">
        <f>Bilans_BS!Y8</f>
        <v>3047.3</v>
      </c>
      <c r="Z7" s="504">
        <f>Bilans_BS!Z8</f>
        <v>3376.7</v>
      </c>
      <c r="AA7" s="407">
        <f>Bilans_BS!AA8</f>
        <v>2984.2</v>
      </c>
      <c r="AB7" s="408">
        <f>Bilans_BS!AB8</f>
        <v>3576.7</v>
      </c>
      <c r="AC7" s="408">
        <f>Bilans_BS!AC8</f>
        <v>2933.1000000000004</v>
      </c>
      <c r="AD7" s="504">
        <f>Bilans_BS!AD8</f>
        <v>3422.8</v>
      </c>
      <c r="AE7" s="407">
        <f>Bilans_BS!AE8</f>
        <v>4052.7</v>
      </c>
      <c r="AF7" s="408">
        <f>Bilans_BS!AF8</f>
        <v>4371.0999999999995</v>
      </c>
      <c r="AG7" s="408">
        <f>Bilans_BS!AG8</f>
        <v>3453.8999999999996</v>
      </c>
      <c r="AH7" s="504">
        <f>Bilans_BS!AH8</f>
        <v>4269.1000000000004</v>
      </c>
      <c r="AI7" s="407">
        <f>Bilans_BS!AI8</f>
        <v>5253.7000000000007</v>
      </c>
      <c r="AJ7" s="408">
        <f>Bilans_BS!AJ8</f>
        <v>3705.3999999999996</v>
      </c>
      <c r="AK7" s="408">
        <f>Bilans_BS!AK8</f>
        <v>4716.4000000000005</v>
      </c>
      <c r="AL7" s="408">
        <f>Bilans_BS!AL8</f>
        <v>3118</v>
      </c>
      <c r="AM7" s="407">
        <f>Bilans_BS!AM8</f>
        <v>3681.5</v>
      </c>
      <c r="AN7" s="408">
        <f>Bilans_BS!AN8</f>
        <v>3167.8</v>
      </c>
      <c r="AO7" s="408">
        <f>Bilans_BS!AO8</f>
        <v>2742.2</v>
      </c>
      <c r="AP7" s="408">
        <f>Bilans_BS!AP8</f>
        <v>3943.8999999999996</v>
      </c>
      <c r="AQ7" s="407">
        <f>Bilans_BS!AQ8</f>
        <v>2715.7999999999997</v>
      </c>
      <c r="AR7" s="408">
        <f>Bilans_BS!AR8</f>
        <v>3706.3</v>
      </c>
      <c r="AS7" s="408">
        <f>Bilans_BS!AS8</f>
        <v>2243.7000000000003</v>
      </c>
      <c r="AT7" s="408">
        <f>Bilans_BS!AT8</f>
        <v>1503.6999999999998</v>
      </c>
      <c r="AU7" s="407">
        <f>Bilans_BS!AU8</f>
        <v>1764.7</v>
      </c>
      <c r="AV7" s="408">
        <f>Bilans_BS!AV8</f>
        <v>2566.9</v>
      </c>
      <c r="AW7" s="408">
        <f>Bilans_BS!AW8</f>
        <v>1794.6</v>
      </c>
      <c r="AX7" s="408">
        <f>Bilans_BS!AX8</f>
        <v>2153.4</v>
      </c>
      <c r="AY7" s="407">
        <f>Bilans_BS!AY8</f>
        <v>2440.5</v>
      </c>
      <c r="AZ7" s="408">
        <f>Bilans_BS!AZ8</f>
        <v>2990.4999999999991</v>
      </c>
      <c r="BA7" s="408">
        <f>Bilans_BS!BA8</f>
        <v>1421.7</v>
      </c>
      <c r="BB7" s="408">
        <f>Bilans_BS!BB8</f>
        <v>1384.6</v>
      </c>
      <c r="BC7" s="407">
        <f>Bilans_BS!BC8</f>
        <v>1511.6999999999998</v>
      </c>
      <c r="BD7" s="408">
        <f>Bilans_BS!BD8</f>
        <v>1111.5</v>
      </c>
      <c r="BE7" s="408">
        <f>Bilans_BS!BE8</f>
        <v>1259.2</v>
      </c>
      <c r="BF7" s="408">
        <f>Bilans_BS!BF8</f>
        <v>2017.6999999999998</v>
      </c>
    </row>
    <row r="8" spans="1:58" s="424" customFormat="1" ht="11.25">
      <c r="A8" s="411" t="str">
        <f>Bilans_BS!A9</f>
        <v xml:space="preserve"> - Derivative hedge instruments</v>
      </c>
      <c r="B8" s="411" t="str">
        <f>Bilans_BS!B9</f>
        <v xml:space="preserve">   - Pochodne instrumenty zabezpieczające</v>
      </c>
      <c r="C8" s="407">
        <f>Bilans_BS!C9</f>
        <v>2</v>
      </c>
      <c r="D8" s="408">
        <f>Bilans_BS!D9</f>
        <v>3.8</v>
      </c>
      <c r="E8" s="408">
        <f>Bilans_BS!E9</f>
        <v>4</v>
      </c>
      <c r="F8" s="408">
        <f>Bilans_BS!F9</f>
        <v>4.5999999999999996</v>
      </c>
      <c r="G8" s="407">
        <f>Bilans_BS!G9</f>
        <v>3.6</v>
      </c>
      <c r="H8" s="408">
        <f>Bilans_BS!H9</f>
        <v>76</v>
      </c>
      <c r="I8" s="408">
        <f>Bilans_BS!I9</f>
        <v>70.400000000000006</v>
      </c>
      <c r="J8" s="504">
        <f>Bilans_BS!J9</f>
        <v>197</v>
      </c>
      <c r="K8" s="407">
        <f>Bilans_BS!K9</f>
        <v>212.4</v>
      </c>
      <c r="L8" s="408">
        <f>Bilans_BS!L9</f>
        <v>91</v>
      </c>
      <c r="M8" s="408">
        <f>Bilans_BS!M9</f>
        <v>64.599999999999994</v>
      </c>
      <c r="N8" s="504">
        <f>Bilans_BS!N9</f>
        <v>90.4</v>
      </c>
      <c r="O8" s="407">
        <f>Bilans_BS!O9</f>
        <v>111.7</v>
      </c>
      <c r="P8" s="408">
        <f>Bilans_BS!P9</f>
        <v>88.1</v>
      </c>
      <c r="Q8" s="408">
        <f>Bilans_BS!Q9</f>
        <v>86.1</v>
      </c>
      <c r="R8" s="504">
        <f>Bilans_BS!R9</f>
        <v>104.8</v>
      </c>
      <c r="S8" s="407">
        <f>Bilans_BS!S9</f>
        <v>112.3</v>
      </c>
      <c r="T8" s="408">
        <f>Bilans_BS!T9</f>
        <v>168</v>
      </c>
      <c r="U8" s="408">
        <f>Bilans_BS!U9</f>
        <v>337.1</v>
      </c>
      <c r="V8" s="504">
        <f>Bilans_BS!V9</f>
        <v>433.4</v>
      </c>
      <c r="W8" s="407">
        <f>Bilans_BS!W9</f>
        <v>349.2</v>
      </c>
      <c r="X8" s="408">
        <f>Bilans_BS!X9</f>
        <v>420</v>
      </c>
      <c r="Y8" s="408">
        <f>Bilans_BS!Y9</f>
        <v>675.3</v>
      </c>
      <c r="Z8" s="504">
        <f>Bilans_BS!Z9</f>
        <v>1112.5999999999999</v>
      </c>
      <c r="AA8" s="407">
        <f>Bilans_BS!AA9</f>
        <v>1066.9000000000001</v>
      </c>
      <c r="AB8" s="408">
        <f>Bilans_BS!AB9</f>
        <v>990.7</v>
      </c>
      <c r="AC8" s="408">
        <f>Bilans_BS!AC9</f>
        <v>994.1</v>
      </c>
      <c r="AD8" s="504">
        <f>Bilans_BS!AD9</f>
        <v>1051.9000000000001</v>
      </c>
      <c r="AE8" s="407">
        <f>Bilans_BS!AE9</f>
        <v>1011.1</v>
      </c>
      <c r="AF8" s="408">
        <f>Bilans_BS!AF9</f>
        <v>1653</v>
      </c>
      <c r="AG8" s="408">
        <f>Bilans_BS!AG9</f>
        <v>2370.9</v>
      </c>
      <c r="AH8" s="504">
        <f>Bilans_BS!AH9</f>
        <v>2983.8</v>
      </c>
      <c r="AI8" s="407">
        <f>Bilans_BS!AI9</f>
        <v>3039.3</v>
      </c>
      <c r="AJ8" s="408">
        <f>Bilans_BS!AJ9</f>
        <v>2036.6</v>
      </c>
      <c r="AK8" s="408">
        <f>Bilans_BS!AK9</f>
        <v>2521.2000000000003</v>
      </c>
      <c r="AL8" s="408">
        <f>Bilans_BS!AL9</f>
        <v>2454.8000000000002</v>
      </c>
      <c r="AM8" s="407">
        <f>Bilans_BS!AM9</f>
        <v>2737.1</v>
      </c>
      <c r="AN8" s="408">
        <f>Bilans_BS!AN9</f>
        <v>2389.6</v>
      </c>
      <c r="AO8" s="408">
        <f>Bilans_BS!AO9</f>
        <v>2138.9</v>
      </c>
      <c r="AP8" s="408">
        <f>Bilans_BS!AP9</f>
        <v>1338.6</v>
      </c>
      <c r="AQ8" s="407">
        <f>Bilans_BS!AQ9</f>
        <v>1259.0999999999999</v>
      </c>
      <c r="AR8" s="408">
        <f>Bilans_BS!AR9</f>
        <v>1148.5999999999999</v>
      </c>
      <c r="AS8" s="408">
        <f>Bilans_BS!AS9</f>
        <v>1050.0999999999999</v>
      </c>
      <c r="AT8" s="408">
        <f>Bilans_BS!AT9</f>
        <v>967.2</v>
      </c>
      <c r="AU8" s="407">
        <f>Bilans_BS!AU9</f>
        <v>960.6</v>
      </c>
      <c r="AV8" s="408">
        <f>Bilans_BS!AV9</f>
        <v>880.2</v>
      </c>
      <c r="AW8" s="408">
        <f>Bilans_BS!AW9</f>
        <v>836.5</v>
      </c>
      <c r="AX8" s="408">
        <f>Bilans_BS!AX9</f>
        <v>909.6</v>
      </c>
      <c r="AY8" s="407">
        <f>Bilans_BS!AY9</f>
        <v>929.3</v>
      </c>
      <c r="AZ8" s="408">
        <f>Bilans_BS!AZ9</f>
        <v>869</v>
      </c>
      <c r="BA8" s="408">
        <f>Bilans_BS!BA9</f>
        <v>883.6</v>
      </c>
      <c r="BB8" s="408">
        <f>Bilans_BS!BB9</f>
        <v>851.6</v>
      </c>
      <c r="BC8" s="407">
        <f>Bilans_BS!BC9</f>
        <v>1075.8</v>
      </c>
      <c r="BD8" s="408">
        <f>Bilans_BS!BD9</f>
        <v>1095.9000000000001</v>
      </c>
      <c r="BE8" s="408">
        <f>Bilans_BS!BE9</f>
        <v>1054.0999999999999</v>
      </c>
      <c r="BF8" s="408">
        <f>Bilans_BS!BF9</f>
        <v>1194.8</v>
      </c>
    </row>
    <row r="9" spans="1:58" s="424" customFormat="1" ht="11.25">
      <c r="A9" s="411" t="str">
        <f>Bilans_BS!A10</f>
        <v xml:space="preserve"> - Investments</v>
      </c>
      <c r="B9" s="411" t="str">
        <f>Bilans_BS!B10</f>
        <v xml:space="preserve">   - Inwestycyjne papiery wartościowe</v>
      </c>
      <c r="C9" s="407">
        <f>Bilans_BS!C10</f>
        <v>12001.7</v>
      </c>
      <c r="D9" s="408">
        <f>Bilans_BS!D10</f>
        <v>9593.7999999999993</v>
      </c>
      <c r="E9" s="408">
        <f>Bilans_BS!E10</f>
        <v>9149.9000000000015</v>
      </c>
      <c r="F9" s="408">
        <f>Bilans_BS!F10</f>
        <v>9388.2999999999993</v>
      </c>
      <c r="G9" s="407">
        <f>Bilans_BS!G10</f>
        <v>13933.400000000001</v>
      </c>
      <c r="H9" s="408">
        <f>Bilans_BS!H10</f>
        <v>17001.2</v>
      </c>
      <c r="I9" s="408">
        <f>Bilans_BS!I10</f>
        <v>19710.7</v>
      </c>
      <c r="J9" s="504">
        <f>Bilans_BS!J10</f>
        <v>18050.900000000001</v>
      </c>
      <c r="K9" s="407">
        <f>Bilans_BS!K10</f>
        <v>15901.9</v>
      </c>
      <c r="L9" s="408">
        <f>Bilans_BS!L10</f>
        <v>15568.2</v>
      </c>
      <c r="M9" s="408">
        <f>Bilans_BS!M10</f>
        <v>14334.5</v>
      </c>
      <c r="N9" s="504">
        <f>Bilans_BS!N10</f>
        <v>14166.3</v>
      </c>
      <c r="O9" s="407">
        <f>Bilans_BS!O10</f>
        <v>21639.699999999997</v>
      </c>
      <c r="P9" s="408">
        <f>Bilans_BS!P10</f>
        <v>21008.7</v>
      </c>
      <c r="Q9" s="408">
        <f>Bilans_BS!Q10</f>
        <v>18736.400000000001</v>
      </c>
      <c r="R9" s="504">
        <f>Bilans_BS!R10</f>
        <v>23006.799999999999</v>
      </c>
      <c r="S9" s="407">
        <f>Bilans_BS!S10</f>
        <v>23574.1</v>
      </c>
      <c r="T9" s="408">
        <f>Bilans_BS!T10</f>
        <v>23947.5</v>
      </c>
      <c r="U9" s="408">
        <f>Bilans_BS!U10</f>
        <v>22396.3</v>
      </c>
      <c r="V9" s="504">
        <f>Bilans_BS!V10</f>
        <v>20450.7</v>
      </c>
      <c r="W9" s="407">
        <f>Bilans_BS!W10</f>
        <v>16819.8</v>
      </c>
      <c r="X9" s="408">
        <f>Bilans_BS!X10</f>
        <v>13817.5</v>
      </c>
      <c r="Y9" s="408">
        <f>Bilans_BS!Y10</f>
        <v>13536.1</v>
      </c>
      <c r="Z9" s="504">
        <f>Bilans_BS!Z10</f>
        <v>17881.099999999999</v>
      </c>
      <c r="AA9" s="407">
        <f>Bilans_BS!AA10</f>
        <v>18003.900000000001</v>
      </c>
      <c r="AB9" s="408">
        <f>Bilans_BS!AB10</f>
        <v>20256.699999999997</v>
      </c>
      <c r="AC9" s="408">
        <f>Bilans_BS!AC10</f>
        <v>19794</v>
      </c>
      <c r="AD9" s="504">
        <f>Bilans_BS!AD10</f>
        <v>19493.600000000002</v>
      </c>
      <c r="AE9" s="407">
        <f>Bilans_BS!AE10</f>
        <v>20994.899999999998</v>
      </c>
      <c r="AF9" s="408">
        <f>Bilans_BS!AF10</f>
        <v>22090.400000000001</v>
      </c>
      <c r="AG9" s="408">
        <f>Bilans_BS!AG10</f>
        <v>23190.600000000002</v>
      </c>
      <c r="AH9" s="504">
        <f>Bilans_BS!AH10</f>
        <v>22829.3</v>
      </c>
      <c r="AI9" s="407">
        <f>Bilans_BS!AI10</f>
        <v>23869.699999999997</v>
      </c>
      <c r="AJ9" s="408">
        <f>Bilans_BS!AJ10</f>
        <v>24267.600000000002</v>
      </c>
      <c r="AK9" s="408">
        <f>Bilans_BS!AK10</f>
        <v>24310.3</v>
      </c>
      <c r="AL9" s="408">
        <f>Bilans_BS!AL10</f>
        <v>23478.799999999999</v>
      </c>
      <c r="AM9" s="407">
        <f>Bilans_BS!AM10</f>
        <v>25072</v>
      </c>
      <c r="AN9" s="408">
        <f>Bilans_BS!AN10</f>
        <v>27761</v>
      </c>
      <c r="AO9" s="408">
        <f>Bilans_BS!AO10</f>
        <v>27344</v>
      </c>
      <c r="AP9" s="408">
        <f>Bilans_BS!AP10</f>
        <v>25721.300000000003</v>
      </c>
      <c r="AQ9" s="407">
        <f>Bilans_BS!AQ10</f>
        <v>26569.7</v>
      </c>
      <c r="AR9" s="408">
        <f>Bilans_BS!AR10</f>
        <v>24427.600000000002</v>
      </c>
      <c r="AS9" s="408">
        <f>Bilans_BS!AS10</f>
        <v>24446.100000000002</v>
      </c>
      <c r="AT9" s="408">
        <f>Bilans_BS!AT10</f>
        <v>29465.100000000002</v>
      </c>
      <c r="AU9" s="407">
        <f>Bilans_BS!AU10</f>
        <v>29135.7</v>
      </c>
      <c r="AV9" s="408">
        <f>Bilans_BS!AV10</f>
        <v>28677</v>
      </c>
      <c r="AW9" s="408">
        <f>Bilans_BS!AW10</f>
        <v>28823.4</v>
      </c>
      <c r="AX9" s="408">
        <f>Bilans_BS!AX10</f>
        <v>31937.200000000001</v>
      </c>
      <c r="AY9" s="407">
        <f>Bilans_BS!AY10</f>
        <v>29977.200000000001</v>
      </c>
      <c r="AZ9" s="408">
        <f>Bilans_BS!AZ10</f>
        <v>31315.200000000004</v>
      </c>
      <c r="BA9" s="408">
        <f>Bilans_BS!BA10</f>
        <v>32063.300000000003</v>
      </c>
      <c r="BB9" s="408">
        <f>Bilans_BS!BB10</f>
        <v>33824.400000000001</v>
      </c>
      <c r="BC9" s="407">
        <f>Bilans_BS!BC10</f>
        <v>40196.100000000006</v>
      </c>
      <c r="BD9" s="408">
        <f>Bilans_BS!BD10</f>
        <v>53077.599999999999</v>
      </c>
      <c r="BE9" s="408">
        <f>Bilans_BS!BE10</f>
        <v>56084.100000000006</v>
      </c>
      <c r="BF9" s="408">
        <f>Bilans_BS!BF10</f>
        <v>54933.5</v>
      </c>
    </row>
    <row r="10" spans="1:58" s="424" customFormat="1" ht="11.25">
      <c r="A10" s="411" t="str">
        <f>Bilans_BS!A11</f>
        <v xml:space="preserve"> - Loans and receivables to customers at amortised cost</v>
      </c>
      <c r="B10" s="411" t="str">
        <f>Bilans_BS!B11</f>
        <v xml:space="preserve">   - Kredyty i inne należności udzielone klientom wyceniane wg zamortyzowanego kosztu</v>
      </c>
      <c r="C10" s="407">
        <f>Bilans_BS!C11</f>
        <v>13782.6</v>
      </c>
      <c r="D10" s="408">
        <f>Bilans_BS!D11</f>
        <v>14567.2</v>
      </c>
      <c r="E10" s="408">
        <f>Bilans_BS!E11</f>
        <v>15449.4</v>
      </c>
      <c r="F10" s="408">
        <f>Bilans_BS!F11</f>
        <v>16379.1</v>
      </c>
      <c r="G10" s="407">
        <f>Bilans_BS!G11</f>
        <v>18039.900000000001</v>
      </c>
      <c r="H10" s="408">
        <f>Bilans_BS!H11</f>
        <v>20372</v>
      </c>
      <c r="I10" s="408">
        <f>Bilans_BS!I11</f>
        <v>21986.799999999999</v>
      </c>
      <c r="J10" s="504">
        <f>Bilans_BS!J11</f>
        <v>25742.799999999999</v>
      </c>
      <c r="K10" s="407">
        <f>Bilans_BS!K11</f>
        <v>29040.3</v>
      </c>
      <c r="L10" s="408">
        <f>Bilans_BS!L11</f>
        <v>29268.6</v>
      </c>
      <c r="M10" s="408">
        <f>Bilans_BS!M11</f>
        <v>29050</v>
      </c>
      <c r="N10" s="504">
        <f>Bilans_BS!N11</f>
        <v>30592.799999999999</v>
      </c>
      <c r="O10" s="407">
        <f>Bilans_BS!O11</f>
        <v>30159.599999999999</v>
      </c>
      <c r="P10" s="408">
        <f>Bilans_BS!P11</f>
        <v>31781.200000000001</v>
      </c>
      <c r="Q10" s="408">
        <f>Bilans_BS!Q11</f>
        <v>33320.6</v>
      </c>
      <c r="R10" s="504">
        <f>Bilans_BS!R11</f>
        <v>34509</v>
      </c>
      <c r="S10" s="407">
        <f>Bilans_BS!S11</f>
        <v>35332.400000000001</v>
      </c>
      <c r="T10" s="408">
        <f>Bilans_BS!T11</f>
        <v>37094.800000000003</v>
      </c>
      <c r="U10" s="408">
        <f>Bilans_BS!U11</f>
        <v>39789.699999999997</v>
      </c>
      <c r="V10" s="504">
        <f>Bilans_BS!V11</f>
        <v>42329.7</v>
      </c>
      <c r="W10" s="407">
        <f>Bilans_BS!W11</f>
        <v>47795.899999999994</v>
      </c>
      <c r="X10" s="408">
        <f>Bilans_BS!X11</f>
        <v>48490.6</v>
      </c>
      <c r="Y10" s="408">
        <f>Bilans_BS!Y11</f>
        <v>49275.1</v>
      </c>
      <c r="Z10" s="504">
        <f>Bilans_BS!Z11</f>
        <v>48985.299999999996</v>
      </c>
      <c r="AA10" s="407">
        <f>Bilans_BS!AA11</f>
        <v>49119.30000000001</v>
      </c>
      <c r="AB10" s="408">
        <f>Bilans_BS!AB11</f>
        <v>51756.700000000004</v>
      </c>
      <c r="AC10" s="408">
        <f>Bilans_BS!AC11</f>
        <v>52357.599999999999</v>
      </c>
      <c r="AD10" s="504">
        <f>Bilans_BS!AD11</f>
        <v>52876.7</v>
      </c>
      <c r="AE10" s="407">
        <f>Bilans_BS!AE11</f>
        <v>55257.5</v>
      </c>
      <c r="AF10" s="408">
        <f>Bilans_BS!AF11</f>
        <v>58092.499999999985</v>
      </c>
      <c r="AG10" s="408">
        <f>Bilans_BS!AG11</f>
        <v>60705.7</v>
      </c>
      <c r="AH10" s="504">
        <f>Bilans_BS!AH11</f>
        <v>61161.4</v>
      </c>
      <c r="AI10" s="407">
        <f>Bilans_BS!AI11</f>
        <v>64386.1</v>
      </c>
      <c r="AJ10" s="408">
        <f>Bilans_BS!AJ11</f>
        <v>68618.5</v>
      </c>
      <c r="AK10" s="408">
        <f>Bilans_BS!AK11</f>
        <v>71978.8</v>
      </c>
      <c r="AL10" s="408">
        <f>Bilans_BS!AL11</f>
        <v>73874</v>
      </c>
      <c r="AM10" s="407">
        <f>Bilans_BS!AM11</f>
        <v>75349.899999999994</v>
      </c>
      <c r="AN10" s="408">
        <f>Bilans_BS!AN11</f>
        <v>78308.599999999991</v>
      </c>
      <c r="AO10" s="408">
        <f>Bilans_BS!AO11</f>
        <v>80397.2</v>
      </c>
      <c r="AP10" s="408">
        <f>Bilans_BS!AP11</f>
        <v>81979.5</v>
      </c>
      <c r="AQ10" s="407">
        <f>Bilans_BS!AQ11</f>
        <v>84399.5</v>
      </c>
      <c r="AR10" s="408">
        <f>Bilans_BS!AR11</f>
        <v>86922.3</v>
      </c>
      <c r="AS10" s="408">
        <f>Bilans_BS!AS11</f>
        <v>90107</v>
      </c>
      <c r="AT10" s="408">
        <f>Bilans_BS!AT11</f>
        <v>87274.6</v>
      </c>
      <c r="AU10" s="407">
        <f>Bilans_BS!AU11</f>
        <v>90028.2</v>
      </c>
      <c r="AV10" s="408">
        <f>Bilans_BS!AV11</f>
        <v>94475.3</v>
      </c>
      <c r="AW10" s="408">
        <f>Bilans_BS!AW11</f>
        <v>98986</v>
      </c>
      <c r="AX10" s="408">
        <f>Bilans_BS!AX11</f>
        <v>102907.40000000001</v>
      </c>
      <c r="AY10" s="407">
        <f>Bilans_BS!AY11</f>
        <v>107181.3</v>
      </c>
      <c r="AZ10" s="408">
        <f>Bilans_BS!AZ11</f>
        <v>110316.4</v>
      </c>
      <c r="BA10" s="408">
        <f>Bilans_BS!BA11</f>
        <v>115551</v>
      </c>
      <c r="BB10" s="408">
        <f>Bilans_BS!BB11</f>
        <v>118127.8</v>
      </c>
      <c r="BC10" s="407">
        <f>Bilans_BS!BC11</f>
        <v>123459.7</v>
      </c>
      <c r="BD10" s="408">
        <f>Bilans_BS!BD11</f>
        <v>120598.09999999999</v>
      </c>
      <c r="BE10" s="408">
        <f>Bilans_BS!BE11</f>
        <v>122382</v>
      </c>
      <c r="BF10" s="408">
        <f>Bilans_BS!BF11</f>
        <v>124655.3</v>
      </c>
    </row>
    <row r="11" spans="1:58" s="418" customFormat="1" ht="11.25">
      <c r="A11" s="411"/>
      <c r="B11" s="508"/>
      <c r="C11" s="528"/>
      <c r="D11" s="529"/>
      <c r="E11" s="527"/>
      <c r="F11" s="527"/>
      <c r="G11" s="407"/>
      <c r="H11" s="408"/>
      <c r="I11" s="408"/>
      <c r="J11" s="504"/>
      <c r="K11" s="407"/>
      <c r="L11" s="408"/>
      <c r="M11" s="408"/>
      <c r="N11" s="504"/>
      <c r="O11" s="407"/>
      <c r="P11" s="408"/>
      <c r="Q11" s="408"/>
      <c r="R11" s="504"/>
      <c r="S11" s="407"/>
      <c r="T11" s="408"/>
      <c r="U11" s="408"/>
      <c r="V11" s="504"/>
      <c r="W11" s="407"/>
      <c r="X11" s="408"/>
      <c r="Y11" s="408"/>
      <c r="Z11" s="504"/>
      <c r="AA11" s="407"/>
      <c r="AB11" s="408"/>
      <c r="AC11" s="408"/>
      <c r="AD11" s="504"/>
      <c r="AE11" s="407"/>
      <c r="AF11" s="408"/>
      <c r="AG11" s="408"/>
      <c r="AH11" s="504"/>
      <c r="AI11" s="407"/>
      <c r="AJ11" s="408"/>
      <c r="AK11" s="408"/>
      <c r="AL11" s="504"/>
      <c r="AM11" s="407"/>
      <c r="AN11" s="408"/>
      <c r="AO11" s="408"/>
      <c r="AP11" s="504"/>
      <c r="AQ11" s="407"/>
      <c r="AR11" s="408"/>
      <c r="AS11" s="408"/>
      <c r="AT11" s="504"/>
      <c r="AU11" s="407"/>
      <c r="AV11" s="408"/>
      <c r="AW11" s="408"/>
      <c r="AX11" s="504"/>
      <c r="AY11" s="407"/>
      <c r="AZ11" s="408"/>
      <c r="BA11" s="408"/>
      <c r="BB11" s="408"/>
      <c r="BC11" s="407"/>
      <c r="BD11" s="408"/>
      <c r="BE11" s="408"/>
      <c r="BF11" s="408"/>
    </row>
    <row r="12" spans="1:58" s="424" customFormat="1" ht="11.25">
      <c r="A12" s="421" t="s">
        <v>801</v>
      </c>
      <c r="B12" s="421" t="s">
        <v>800</v>
      </c>
      <c r="C12" s="405">
        <f t="shared" ref="C12:AW12" si="5">+C13+C14+C15+C16+C17</f>
        <v>46373.2</v>
      </c>
      <c r="D12" s="406">
        <f t="shared" si="5"/>
        <v>44121.8</v>
      </c>
      <c r="E12" s="406">
        <f t="shared" si="5"/>
        <v>46250.299999999996</v>
      </c>
      <c r="F12" s="406">
        <f t="shared" si="5"/>
        <v>46312</v>
      </c>
      <c r="G12" s="405">
        <f t="shared" si="5"/>
        <v>50571.400000000009</v>
      </c>
      <c r="H12" s="406">
        <f t="shared" si="5"/>
        <v>53676.200000000004</v>
      </c>
      <c r="I12" s="406">
        <f t="shared" si="5"/>
        <v>56457</v>
      </c>
      <c r="J12" s="510">
        <f t="shared" si="5"/>
        <v>53127.8</v>
      </c>
      <c r="K12" s="405">
        <f t="shared" si="5"/>
        <v>54656.5</v>
      </c>
      <c r="L12" s="406">
        <f t="shared" si="5"/>
        <v>55463.199999999997</v>
      </c>
      <c r="M12" s="406">
        <f t="shared" si="5"/>
        <v>52875.9</v>
      </c>
      <c r="N12" s="510">
        <f t="shared" si="5"/>
        <v>51558.5</v>
      </c>
      <c r="O12" s="405">
        <f t="shared" si="5"/>
        <v>51556.399999999994</v>
      </c>
      <c r="P12" s="406">
        <f t="shared" si="5"/>
        <v>51144.4</v>
      </c>
      <c r="Q12" s="406">
        <f t="shared" si="5"/>
        <v>50817.2</v>
      </c>
      <c r="R12" s="510">
        <f t="shared" si="5"/>
        <v>51439.200000000004</v>
      </c>
      <c r="S12" s="405">
        <f t="shared" si="5"/>
        <v>56897.100000000006</v>
      </c>
      <c r="T12" s="406">
        <f t="shared" si="5"/>
        <v>57224.2</v>
      </c>
      <c r="U12" s="406">
        <f t="shared" si="5"/>
        <v>58355.8</v>
      </c>
      <c r="V12" s="510">
        <f t="shared" si="5"/>
        <v>57893.999999999985</v>
      </c>
      <c r="W12" s="405">
        <f t="shared" si="5"/>
        <v>57846.899999999994</v>
      </c>
      <c r="X12" s="406">
        <f t="shared" si="5"/>
        <v>58265.30000000001</v>
      </c>
      <c r="Y12" s="406">
        <f t="shared" si="5"/>
        <v>59828.899999999994</v>
      </c>
      <c r="Z12" s="510">
        <f t="shared" si="5"/>
        <v>62979.19999999999</v>
      </c>
      <c r="AA12" s="405">
        <f t="shared" si="5"/>
        <v>63474.599999999991</v>
      </c>
      <c r="AB12" s="406">
        <f t="shared" si="5"/>
        <v>68865.100000000006</v>
      </c>
      <c r="AC12" s="406">
        <f t="shared" si="5"/>
        <v>71996.099999999991</v>
      </c>
      <c r="AD12" s="510">
        <f t="shared" si="5"/>
        <v>73157.599999999991</v>
      </c>
      <c r="AE12" s="405">
        <f t="shared" si="5"/>
        <v>78150.2</v>
      </c>
      <c r="AF12" s="406">
        <f t="shared" si="5"/>
        <v>83401.2</v>
      </c>
      <c r="AG12" s="406">
        <f t="shared" si="5"/>
        <v>79594.500000000029</v>
      </c>
      <c r="AH12" s="510">
        <f t="shared" si="5"/>
        <v>82678.499999999985</v>
      </c>
      <c r="AI12" s="405">
        <f t="shared" si="5"/>
        <v>84341.700000000012</v>
      </c>
      <c r="AJ12" s="406">
        <f t="shared" si="5"/>
        <v>90114.4</v>
      </c>
      <c r="AK12" s="406">
        <f t="shared" si="5"/>
        <v>95619.1</v>
      </c>
      <c r="AL12" s="406">
        <f t="shared" si="5"/>
        <v>92645.8</v>
      </c>
      <c r="AM12" s="405">
        <f t="shared" si="5"/>
        <v>96163</v>
      </c>
      <c r="AN12" s="406">
        <f t="shared" si="5"/>
        <v>100106.20000000001</v>
      </c>
      <c r="AO12" s="406">
        <f t="shared" si="5"/>
        <v>100857.1</v>
      </c>
      <c r="AP12" s="406">
        <f t="shared" si="5"/>
        <v>105226.49999999999</v>
      </c>
      <c r="AQ12" s="405">
        <f t="shared" si="5"/>
        <v>105238.7</v>
      </c>
      <c r="AR12" s="406">
        <f t="shared" si="5"/>
        <v>108027.50000000001</v>
      </c>
      <c r="AS12" s="406">
        <f t="shared" si="5"/>
        <v>107032.6</v>
      </c>
      <c r="AT12" s="406">
        <f t="shared" si="5"/>
        <v>110258.5</v>
      </c>
      <c r="AU12" s="405">
        <f t="shared" si="5"/>
        <v>112740.2</v>
      </c>
      <c r="AV12" s="406">
        <f t="shared" si="5"/>
        <v>116653.1</v>
      </c>
      <c r="AW12" s="406">
        <f t="shared" si="5"/>
        <v>119059.9</v>
      </c>
      <c r="AX12" s="406">
        <f>+AX13+AX14+AX15+AX16+AX17</f>
        <v>125681.5</v>
      </c>
      <c r="AY12" s="405">
        <f t="shared" ref="AY12:AZ12" si="6">+AY13+AY14+AY15+AY16+AY17</f>
        <v>128339.4</v>
      </c>
      <c r="AZ12" s="406">
        <f t="shared" si="6"/>
        <v>133959.30000000002</v>
      </c>
      <c r="BA12" s="406">
        <f t="shared" ref="BA12:BC12" si="7">+BA13+BA14+BA15+BA16+BA17</f>
        <v>136405.90000000002</v>
      </c>
      <c r="BB12" s="406">
        <f t="shared" si="7"/>
        <v>139930.40000000002</v>
      </c>
      <c r="BC12" s="405">
        <f t="shared" si="7"/>
        <v>149221.20000000001</v>
      </c>
      <c r="BD12" s="406">
        <f t="shared" ref="BD12:BE12" si="8">+BD13+BD14+BD15+BD16+BD17</f>
        <v>158382.19999999998</v>
      </c>
      <c r="BE12" s="406">
        <f t="shared" si="8"/>
        <v>162268.19999999998</v>
      </c>
      <c r="BF12" s="406">
        <f t="shared" ref="BF12" si="9">+BF13+BF14+BF15+BF16+BF17</f>
        <v>163647.90000000002</v>
      </c>
    </row>
    <row r="13" spans="1:58" s="424" customFormat="1" ht="11.25">
      <c r="A13" s="411" t="str">
        <f>Bilans_BS!A25</f>
        <v xml:space="preserve"> - Liabilities due to other banks</v>
      </c>
      <c r="B13" s="411" t="str">
        <f>Bilans_BS!B25</f>
        <v xml:space="preserve">   - Zobowiązania wobec innych banków</v>
      </c>
      <c r="C13" s="407">
        <f>Bilans_BS!C25</f>
        <v>5598.6</v>
      </c>
      <c r="D13" s="408">
        <f>Bilans_BS!D25</f>
        <v>3868.4</v>
      </c>
      <c r="E13" s="408">
        <f>Bilans_BS!E25</f>
        <v>5592.2</v>
      </c>
      <c r="F13" s="408">
        <f>Bilans_BS!F25</f>
        <v>1810.2</v>
      </c>
      <c r="G13" s="407">
        <f>Bilans_BS!G25</f>
        <v>5212.3</v>
      </c>
      <c r="H13" s="408">
        <f>Bilans_BS!H25</f>
        <v>6024.8</v>
      </c>
      <c r="I13" s="408">
        <f>Bilans_BS!I25</f>
        <v>5153.5</v>
      </c>
      <c r="J13" s="504">
        <f>Bilans_BS!J25</f>
        <v>6015.9</v>
      </c>
      <c r="K13" s="407">
        <f>Bilans_BS!K25</f>
        <v>8073.1</v>
      </c>
      <c r="L13" s="408">
        <f>Bilans_BS!L25</f>
        <v>9535.2999999999993</v>
      </c>
      <c r="M13" s="408">
        <f>Bilans_BS!M25</f>
        <v>6355.9000000000005</v>
      </c>
      <c r="N13" s="504">
        <f>Bilans_BS!N25</f>
        <v>3927.8</v>
      </c>
      <c r="O13" s="407">
        <f>Bilans_BS!O25</f>
        <v>5359.0999999999995</v>
      </c>
      <c r="P13" s="408">
        <f>Bilans_BS!P25</f>
        <v>5121.8</v>
      </c>
      <c r="Q13" s="408">
        <f>Bilans_BS!Q25</f>
        <v>3115.6000000000004</v>
      </c>
      <c r="R13" s="504">
        <f>Bilans_BS!R25</f>
        <v>3991</v>
      </c>
      <c r="S13" s="407">
        <f>Bilans_BS!S25</f>
        <v>10409.200000000001</v>
      </c>
      <c r="T13" s="408">
        <f>Bilans_BS!T25</f>
        <v>8913.5</v>
      </c>
      <c r="U13" s="408">
        <f>Bilans_BS!U25</f>
        <v>7573.3</v>
      </c>
      <c r="V13" s="504">
        <f>Bilans_BS!V25</f>
        <v>4917.2999999999993</v>
      </c>
      <c r="W13" s="407">
        <f>Bilans_BS!W25</f>
        <v>5381.4</v>
      </c>
      <c r="X13" s="408">
        <f>Bilans_BS!X25</f>
        <v>4079.3</v>
      </c>
      <c r="Y13" s="408">
        <f>Bilans_BS!Y25</f>
        <v>4932.7</v>
      </c>
      <c r="Z13" s="504">
        <f>Bilans_BS!Z25</f>
        <v>4513.7000000000007</v>
      </c>
      <c r="AA13" s="407">
        <f>Bilans_BS!AA25</f>
        <v>4773.2999999999993</v>
      </c>
      <c r="AB13" s="408">
        <f>Bilans_BS!AB25</f>
        <v>4139.6000000000004</v>
      </c>
      <c r="AC13" s="408">
        <f>Bilans_BS!AC25</f>
        <v>4513.2</v>
      </c>
      <c r="AD13" s="504">
        <f>Bilans_BS!AD25</f>
        <v>4609.8</v>
      </c>
      <c r="AE13" s="407">
        <f>Bilans_BS!AE25</f>
        <v>10542.5</v>
      </c>
      <c r="AF13" s="408">
        <f>Bilans_BS!AF25</f>
        <v>11859.5</v>
      </c>
      <c r="AG13" s="408">
        <f>Bilans_BS!AG25</f>
        <v>7043.3</v>
      </c>
      <c r="AH13" s="504">
        <f>Bilans_BS!AH25</f>
        <v>6123.4000000000005</v>
      </c>
      <c r="AI13" s="407">
        <f>Bilans_BS!AI25</f>
        <v>5807.5000000000009</v>
      </c>
      <c r="AJ13" s="408">
        <f>Bilans_BS!AJ25</f>
        <v>8493</v>
      </c>
      <c r="AK13" s="408">
        <f>Bilans_BS!AK25</f>
        <v>10917.1</v>
      </c>
      <c r="AL13" s="408">
        <f>Bilans_BS!AL25</f>
        <v>3913.5</v>
      </c>
      <c r="AM13" s="407">
        <f>Bilans_BS!AM25</f>
        <v>4236</v>
      </c>
      <c r="AN13" s="408">
        <f>Bilans_BS!AN25</f>
        <v>5082.3</v>
      </c>
      <c r="AO13" s="408">
        <f>Bilans_BS!AO25</f>
        <v>7032.5</v>
      </c>
      <c r="AP13" s="408">
        <f>Bilans_BS!AP25</f>
        <v>5043</v>
      </c>
      <c r="AQ13" s="407">
        <f>Bilans_BS!AQ25</f>
        <v>5606.6</v>
      </c>
      <c r="AR13" s="408">
        <f>Bilans_BS!AR25</f>
        <v>6140.5</v>
      </c>
      <c r="AS13" s="408">
        <f>Bilans_BS!AS25</f>
        <v>5637.8</v>
      </c>
      <c r="AT13" s="408">
        <f>Bilans_BS!AT25</f>
        <v>4109</v>
      </c>
      <c r="AU13" s="407">
        <f>Bilans_BS!AU25</f>
        <v>6288.8</v>
      </c>
      <c r="AV13" s="408">
        <f>Bilans_BS!AV25</f>
        <v>4882</v>
      </c>
      <c r="AW13" s="408">
        <f>Bilans_BS!AW25</f>
        <v>6882.2</v>
      </c>
      <c r="AX13" s="408">
        <f>Bilans_BS!AX25</f>
        <v>5195.8</v>
      </c>
      <c r="AY13" s="407">
        <f>Bilans_BS!AY25</f>
        <v>5004.3</v>
      </c>
      <c r="AZ13" s="408">
        <f>Bilans_BS!AZ25</f>
        <v>7359.2</v>
      </c>
      <c r="BA13" s="408">
        <f>Bilans_BS!BA25</f>
        <v>7593.0999999999995</v>
      </c>
      <c r="BB13" s="408">
        <f>Bilans_BS!BB25</f>
        <v>6256.1</v>
      </c>
      <c r="BC13" s="407">
        <f>Bilans_BS!BC25</f>
        <v>6624.3</v>
      </c>
      <c r="BD13" s="408">
        <f>Bilans_BS!BD25</f>
        <v>4594.6000000000004</v>
      </c>
      <c r="BE13" s="408">
        <f>Bilans_BS!BE25</f>
        <v>4883.1000000000004</v>
      </c>
      <c r="BF13" s="408">
        <f>Bilans_BS!BF25</f>
        <v>8228</v>
      </c>
    </row>
    <row r="14" spans="1:58" s="424" customFormat="1" ht="22.5">
      <c r="A14" s="411" t="s">
        <v>839</v>
      </c>
      <c r="B14" s="411" t="s">
        <v>838</v>
      </c>
      <c r="C14" s="407">
        <v>0</v>
      </c>
      <c r="D14" s="408">
        <v>0</v>
      </c>
      <c r="E14" s="408">
        <v>0</v>
      </c>
      <c r="F14" s="408">
        <v>0</v>
      </c>
      <c r="G14" s="407">
        <v>0</v>
      </c>
      <c r="H14" s="408">
        <v>0</v>
      </c>
      <c r="I14" s="408">
        <v>0</v>
      </c>
      <c r="J14" s="504">
        <v>0</v>
      </c>
      <c r="K14" s="407">
        <v>0</v>
      </c>
      <c r="L14" s="408">
        <v>0</v>
      </c>
      <c r="M14" s="408">
        <v>0</v>
      </c>
      <c r="N14" s="504">
        <v>0</v>
      </c>
      <c r="O14" s="407">
        <v>0</v>
      </c>
      <c r="P14" s="408">
        <v>0</v>
      </c>
      <c r="Q14" s="408">
        <v>0</v>
      </c>
      <c r="R14" s="504">
        <v>0</v>
      </c>
      <c r="S14" s="407">
        <v>0</v>
      </c>
      <c r="T14" s="408">
        <v>0</v>
      </c>
      <c r="U14" s="408">
        <v>0</v>
      </c>
      <c r="V14" s="504">
        <v>0</v>
      </c>
      <c r="W14" s="407">
        <v>0</v>
      </c>
      <c r="X14" s="408">
        <v>0</v>
      </c>
      <c r="Y14" s="408">
        <v>0</v>
      </c>
      <c r="Z14" s="504">
        <v>0</v>
      </c>
      <c r="AA14" s="407">
        <v>0</v>
      </c>
      <c r="AB14" s="408">
        <v>0</v>
      </c>
      <c r="AC14" s="408">
        <v>0</v>
      </c>
      <c r="AD14" s="504">
        <v>0</v>
      </c>
      <c r="AE14" s="407">
        <v>0</v>
      </c>
      <c r="AF14" s="408">
        <v>0</v>
      </c>
      <c r="AG14" s="408">
        <v>0</v>
      </c>
      <c r="AH14" s="504">
        <v>0</v>
      </c>
      <c r="AI14" s="407">
        <v>0</v>
      </c>
      <c r="AJ14" s="408">
        <v>0</v>
      </c>
      <c r="AK14" s="408">
        <v>0</v>
      </c>
      <c r="AL14" s="408">
        <v>0</v>
      </c>
      <c r="AM14" s="407">
        <v>0</v>
      </c>
      <c r="AN14" s="408">
        <v>0</v>
      </c>
      <c r="AO14" s="408">
        <v>0</v>
      </c>
      <c r="AP14" s="408">
        <v>2826.7999999999997</v>
      </c>
      <c r="AQ14" s="407">
        <v>1505.1999999999998</v>
      </c>
      <c r="AR14" s="408">
        <v>2676.6000000000004</v>
      </c>
      <c r="AS14" s="408">
        <v>1415.2000000000003</v>
      </c>
      <c r="AT14" s="408">
        <v>718.99999999999989</v>
      </c>
      <c r="AU14" s="407">
        <v>854.7</v>
      </c>
      <c r="AV14" s="408">
        <v>1641.2</v>
      </c>
      <c r="AW14" s="408">
        <v>1028.5999999999999</v>
      </c>
      <c r="AX14" s="408">
        <v>1426</v>
      </c>
      <c r="AY14" s="407">
        <v>1541.7000000000003</v>
      </c>
      <c r="AZ14" s="408">
        <v>2242.8999999999992</v>
      </c>
      <c r="BA14" s="408">
        <v>535.6</v>
      </c>
      <c r="BB14" s="408">
        <v>670</v>
      </c>
      <c r="BC14" s="407">
        <v>272.49999999999983</v>
      </c>
      <c r="BD14" s="408">
        <v>177.80000000000004</v>
      </c>
      <c r="BE14" s="408">
        <v>322.8</v>
      </c>
      <c r="BF14" s="408">
        <v>711.69999999999982</v>
      </c>
    </row>
    <row r="15" spans="1:58" s="424" customFormat="1" ht="11.25">
      <c r="A15" s="411" t="str">
        <f>Bilans_BS!A28</f>
        <v xml:space="preserve"> - Liabilities due to customers</v>
      </c>
      <c r="B15" s="411" t="str">
        <f>Bilans_BS!B28</f>
        <v xml:space="preserve">   - Zobowiązania wobec klientów</v>
      </c>
      <c r="C15" s="407">
        <f>Bilans_BS!C28</f>
        <v>40774.6</v>
      </c>
      <c r="D15" s="408">
        <f>Bilans_BS!D28</f>
        <v>40253.4</v>
      </c>
      <c r="E15" s="408">
        <f>Bilans_BS!E28</f>
        <v>40658.1</v>
      </c>
      <c r="F15" s="408">
        <f>Bilans_BS!F28</f>
        <v>44501.8</v>
      </c>
      <c r="G15" s="407">
        <f>Bilans_BS!G28</f>
        <v>45359.100000000006</v>
      </c>
      <c r="H15" s="408">
        <f>Bilans_BS!H28</f>
        <v>47651.4</v>
      </c>
      <c r="I15" s="408">
        <f>Bilans_BS!I28</f>
        <v>51303.5</v>
      </c>
      <c r="J15" s="504">
        <f>Bilans_BS!J28</f>
        <v>47111.9</v>
      </c>
      <c r="K15" s="407">
        <f>Bilans_BS!K28</f>
        <v>46583.4</v>
      </c>
      <c r="L15" s="408">
        <f>Bilans_BS!L28</f>
        <v>45927.9</v>
      </c>
      <c r="M15" s="408">
        <f>Bilans_BS!M28</f>
        <v>46520</v>
      </c>
      <c r="N15" s="504">
        <f>Bilans_BS!N28</f>
        <v>47630.7</v>
      </c>
      <c r="O15" s="407">
        <f>Bilans_BS!O28</f>
        <v>46197.299999999996</v>
      </c>
      <c r="P15" s="408">
        <f>Bilans_BS!P28</f>
        <v>46022.6</v>
      </c>
      <c r="Q15" s="408">
        <f>Bilans_BS!Q28</f>
        <v>47701.599999999999</v>
      </c>
      <c r="R15" s="504">
        <f>Bilans_BS!R28</f>
        <v>47448.200000000004</v>
      </c>
      <c r="S15" s="407">
        <f>Bilans_BS!S28</f>
        <v>46487.900000000009</v>
      </c>
      <c r="T15" s="408">
        <f>Bilans_BS!T28</f>
        <v>48310.7</v>
      </c>
      <c r="U15" s="408">
        <f>Bilans_BS!U28</f>
        <v>50782.5</v>
      </c>
      <c r="V15" s="504">
        <f>Bilans_BS!V28</f>
        <v>52976.69999999999</v>
      </c>
      <c r="W15" s="407">
        <f>Bilans_BS!W28</f>
        <v>52465.499999999993</v>
      </c>
      <c r="X15" s="408">
        <f>Bilans_BS!X28</f>
        <v>54186.000000000007</v>
      </c>
      <c r="Y15" s="408">
        <f>Bilans_BS!Y28</f>
        <v>54896.2</v>
      </c>
      <c r="Z15" s="504">
        <f>Bilans_BS!Z28</f>
        <v>57898.399999999994</v>
      </c>
      <c r="AA15" s="407">
        <f>Bilans_BS!AA28</f>
        <v>58126.799999999996</v>
      </c>
      <c r="AB15" s="408">
        <f>Bilans_BS!AB28</f>
        <v>64159.100000000006</v>
      </c>
      <c r="AC15" s="408">
        <f>Bilans_BS!AC28</f>
        <v>66911.399999999994</v>
      </c>
      <c r="AD15" s="504">
        <f>Bilans_BS!AD28</f>
        <v>67981.399999999994</v>
      </c>
      <c r="AE15" s="407">
        <f>Bilans_BS!AE28</f>
        <v>67036.3</v>
      </c>
      <c r="AF15" s="408">
        <f>Bilans_BS!AF28</f>
        <v>70975.3</v>
      </c>
      <c r="AG15" s="408">
        <f>Bilans_BS!AG28</f>
        <v>71979.60000000002</v>
      </c>
      <c r="AH15" s="504">
        <f>Bilans_BS!AH28</f>
        <v>75688.599999999991</v>
      </c>
      <c r="AI15" s="407">
        <f>Bilans_BS!AI28</f>
        <v>77661.500000000015</v>
      </c>
      <c r="AJ15" s="408">
        <f>Bilans_BS!AJ28</f>
        <v>80755.099999999991</v>
      </c>
      <c r="AK15" s="408">
        <f>Bilans_BS!AK28</f>
        <v>83830</v>
      </c>
      <c r="AL15" s="408">
        <f>Bilans_BS!AL28</f>
        <v>87866</v>
      </c>
      <c r="AM15" s="407">
        <f>Bilans_BS!AM28</f>
        <v>90413.4</v>
      </c>
      <c r="AN15" s="408">
        <f>Bilans_BS!AN28</f>
        <v>93492.400000000009</v>
      </c>
      <c r="AO15" s="408">
        <f>Bilans_BS!AO28</f>
        <v>92304.6</v>
      </c>
      <c r="AP15" s="408">
        <f>Bilans_BS!AP28</f>
        <v>95825.4</v>
      </c>
      <c r="AQ15" s="407">
        <f>Bilans_BS!AQ28</f>
        <v>96620.7</v>
      </c>
      <c r="AR15" s="408">
        <f>Bilans_BS!AR28</f>
        <v>97708.800000000003</v>
      </c>
      <c r="AS15" s="408">
        <f>Bilans_BS!AS28</f>
        <v>98459.8</v>
      </c>
      <c r="AT15" s="408">
        <f>Bilans_BS!AT28</f>
        <v>104503.3</v>
      </c>
      <c r="AU15" s="407">
        <f>Bilans_BS!AU28</f>
        <v>104662.1</v>
      </c>
      <c r="AV15" s="408">
        <f>Bilans_BS!AV28</f>
        <v>109174.1</v>
      </c>
      <c r="AW15" s="408">
        <f>Bilans_BS!AW28</f>
        <v>110205</v>
      </c>
      <c r="AX15" s="408">
        <f>Bilans_BS!AX28</f>
        <v>117682.5</v>
      </c>
      <c r="AY15" s="407">
        <f>Bilans_BS!AY28</f>
        <v>120414</v>
      </c>
      <c r="AZ15" s="408">
        <f>Bilans_BS!AZ28</f>
        <v>122992</v>
      </c>
      <c r="BA15" s="408">
        <f>Bilans_BS!BA28</f>
        <v>125786.3</v>
      </c>
      <c r="BB15" s="408">
        <f>Bilans_BS!BB28</f>
        <v>130473.5</v>
      </c>
      <c r="BC15" s="407">
        <f>Bilans_BS!BC28</f>
        <v>139648.70000000001</v>
      </c>
      <c r="BD15" s="408">
        <f>Bilans_BS!BD28</f>
        <v>150979.29999999999</v>
      </c>
      <c r="BE15" s="408">
        <f>Bilans_BS!BE28</f>
        <v>154399.79999999999</v>
      </c>
      <c r="BF15" s="408">
        <f>Bilans_BS!BF28</f>
        <v>151028.5</v>
      </c>
    </row>
    <row r="16" spans="1:58" s="424" customFormat="1" ht="11.25">
      <c r="A16" s="411" t="str">
        <f>Bilans_BS!A29</f>
        <v xml:space="preserve"> - Liabilities under issue of debt securities</v>
      </c>
      <c r="B16" s="411" t="str">
        <f>Bilans_BS!B29</f>
        <v xml:space="preserve">   - Zobowiązania z tytułu emisji papierów wartościowych</v>
      </c>
      <c r="C16" s="407">
        <f>Bilans_BS!C29</f>
        <v>0</v>
      </c>
      <c r="D16" s="408">
        <f>Bilans_BS!D29</f>
        <v>0</v>
      </c>
      <c r="E16" s="408">
        <f>Bilans_BS!E29</f>
        <v>0</v>
      </c>
      <c r="F16" s="408">
        <f>Bilans_BS!F29</f>
        <v>0</v>
      </c>
      <c r="G16" s="407">
        <f>Bilans_BS!G29</f>
        <v>0</v>
      </c>
      <c r="H16" s="408">
        <f>Bilans_BS!H29</f>
        <v>0</v>
      </c>
      <c r="I16" s="408">
        <f>Bilans_BS!I29</f>
        <v>0</v>
      </c>
      <c r="J16" s="504">
        <f>Bilans_BS!J29</f>
        <v>0</v>
      </c>
      <c r="K16" s="407">
        <f>Bilans_BS!K29</f>
        <v>0</v>
      </c>
      <c r="L16" s="408">
        <f>Bilans_BS!L29</f>
        <v>0</v>
      </c>
      <c r="M16" s="408">
        <f>Bilans_BS!M29</f>
        <v>0</v>
      </c>
      <c r="N16" s="504">
        <f>Bilans_BS!N29</f>
        <v>0</v>
      </c>
      <c r="O16" s="407">
        <f>Bilans_BS!O29</f>
        <v>0</v>
      </c>
      <c r="P16" s="408">
        <f>Bilans_BS!P29</f>
        <v>0</v>
      </c>
      <c r="Q16" s="408">
        <f>Bilans_BS!Q29</f>
        <v>0</v>
      </c>
      <c r="R16" s="504">
        <f>Bilans_BS!R29</f>
        <v>0</v>
      </c>
      <c r="S16" s="407">
        <f>Bilans_BS!S29</f>
        <v>0</v>
      </c>
      <c r="T16" s="408">
        <f>Bilans_BS!T29</f>
        <v>0</v>
      </c>
      <c r="U16" s="408">
        <f>Bilans_BS!U29</f>
        <v>0</v>
      </c>
      <c r="V16" s="504">
        <f>Bilans_BS!V29</f>
        <v>0</v>
      </c>
      <c r="W16" s="407">
        <f>Bilans_BS!W29</f>
        <v>0</v>
      </c>
      <c r="X16" s="408">
        <f>Bilans_BS!X29</f>
        <v>0</v>
      </c>
      <c r="Y16" s="408">
        <f>Bilans_BS!Y29</f>
        <v>0</v>
      </c>
      <c r="Z16" s="504">
        <f>Bilans_BS!Z29</f>
        <v>567.1</v>
      </c>
      <c r="AA16" s="407">
        <f>Bilans_BS!AA29</f>
        <v>574.5</v>
      </c>
      <c r="AB16" s="408">
        <f>Bilans_BS!AB29</f>
        <v>566.4</v>
      </c>
      <c r="AC16" s="408">
        <f>Bilans_BS!AC29</f>
        <v>571.5</v>
      </c>
      <c r="AD16" s="504">
        <f>Bilans_BS!AD29</f>
        <v>566.4</v>
      </c>
      <c r="AE16" s="407">
        <f>Bilans_BS!AE29</f>
        <v>571.4</v>
      </c>
      <c r="AF16" s="408">
        <f>Bilans_BS!AF29</f>
        <v>566.4</v>
      </c>
      <c r="AG16" s="408">
        <f>Bilans_BS!AG29</f>
        <v>571.6</v>
      </c>
      <c r="AH16" s="504">
        <f>Bilans_BS!AH29</f>
        <v>866.5</v>
      </c>
      <c r="AI16" s="407">
        <f>Bilans_BS!AI29</f>
        <v>872.7</v>
      </c>
      <c r="AJ16" s="408">
        <f>Bilans_BS!AJ29</f>
        <v>866.3</v>
      </c>
      <c r="AK16" s="408">
        <f>Bilans_BS!AK29</f>
        <v>872</v>
      </c>
      <c r="AL16" s="408">
        <f>Bilans_BS!AL29</f>
        <v>866.3</v>
      </c>
      <c r="AM16" s="407">
        <f>Bilans_BS!AM29</f>
        <v>872</v>
      </c>
      <c r="AN16" s="408">
        <f>Bilans_BS!AN29</f>
        <v>866.3</v>
      </c>
      <c r="AO16" s="408">
        <f>Bilans_BS!AO29</f>
        <v>871.9</v>
      </c>
      <c r="AP16" s="408">
        <f>Bilans_BS!AP29</f>
        <v>866.4</v>
      </c>
      <c r="AQ16" s="407">
        <f>Bilans_BS!AQ29</f>
        <v>872</v>
      </c>
      <c r="AR16" s="408">
        <f>Bilans_BS!AR29</f>
        <v>866.3</v>
      </c>
      <c r="AS16" s="408">
        <f>Bilans_BS!AS29</f>
        <v>872.1</v>
      </c>
      <c r="AT16" s="408">
        <f>Bilans_BS!AT29</f>
        <v>300.3</v>
      </c>
      <c r="AU16" s="407">
        <f>Bilans_BS!AU29</f>
        <v>302.2</v>
      </c>
      <c r="AV16" s="408">
        <f>Bilans_BS!AV29</f>
        <v>300.2</v>
      </c>
      <c r="AW16" s="408">
        <f>Bilans_BS!AW29</f>
        <v>302.2</v>
      </c>
      <c r="AX16" s="408">
        <f>Bilans_BS!AX29</f>
        <v>300.3</v>
      </c>
      <c r="AY16" s="407">
        <f>Bilans_BS!AY29</f>
        <v>302.2</v>
      </c>
      <c r="AZ16" s="408">
        <f>Bilans_BS!AZ29</f>
        <v>300.2</v>
      </c>
      <c r="BA16" s="408">
        <f>Bilans_BS!BA29</f>
        <v>302.2</v>
      </c>
      <c r="BB16" s="408">
        <f>Bilans_BS!BB29</f>
        <v>399.7</v>
      </c>
      <c r="BC16" s="407">
        <f>Bilans_BS!BC29</f>
        <v>397.6</v>
      </c>
      <c r="BD16" s="408">
        <f>Bilans_BS!BD29</f>
        <v>395.4</v>
      </c>
      <c r="BE16" s="408">
        <f>Bilans_BS!BE29</f>
        <v>397.3</v>
      </c>
      <c r="BF16" s="408">
        <f>Bilans_BS!BF29</f>
        <v>1370.5</v>
      </c>
    </row>
    <row r="17" spans="1:58" s="424" customFormat="1" ht="11.25">
      <c r="A17" s="411" t="str">
        <f>Bilans_BS!A30</f>
        <v xml:space="preserve"> - Subordinated liabilities</v>
      </c>
      <c r="B17" s="411" t="str">
        <f>Bilans_BS!B30</f>
        <v xml:space="preserve">   - Zobowiązania podporządkowane</v>
      </c>
      <c r="C17" s="407">
        <f>Bilans_BS!C30</f>
        <v>0</v>
      </c>
      <c r="D17" s="408">
        <f>Bilans_BS!D30</f>
        <v>0</v>
      </c>
      <c r="E17" s="408">
        <f>Bilans_BS!E30</f>
        <v>0</v>
      </c>
      <c r="F17" s="408">
        <f>Bilans_BS!F30</f>
        <v>0</v>
      </c>
      <c r="G17" s="407">
        <f>Bilans_BS!G30</f>
        <v>0</v>
      </c>
      <c r="H17" s="408">
        <f>Bilans_BS!H30</f>
        <v>0</v>
      </c>
      <c r="I17" s="408">
        <f>Bilans_BS!I30</f>
        <v>0</v>
      </c>
      <c r="J17" s="504">
        <f>Bilans_BS!J30</f>
        <v>0</v>
      </c>
      <c r="K17" s="407">
        <f>Bilans_BS!K30</f>
        <v>0</v>
      </c>
      <c r="L17" s="408">
        <f>Bilans_BS!L30</f>
        <v>0</v>
      </c>
      <c r="M17" s="408">
        <f>Bilans_BS!M30</f>
        <v>0</v>
      </c>
      <c r="N17" s="504">
        <f>Bilans_BS!N30</f>
        <v>0</v>
      </c>
      <c r="O17" s="407">
        <f>Bilans_BS!O30</f>
        <v>0</v>
      </c>
      <c r="P17" s="408">
        <f>Bilans_BS!P30</f>
        <v>0</v>
      </c>
      <c r="Q17" s="408">
        <f>Bilans_BS!Q30</f>
        <v>0</v>
      </c>
      <c r="R17" s="504">
        <f>Bilans_BS!R30</f>
        <v>0</v>
      </c>
      <c r="S17" s="407">
        <f>Bilans_BS!S30</f>
        <v>0</v>
      </c>
      <c r="T17" s="408">
        <f>Bilans_BS!T30</f>
        <v>0</v>
      </c>
      <c r="U17" s="408">
        <f>Bilans_BS!U30</f>
        <v>0</v>
      </c>
      <c r="V17" s="504">
        <f>Bilans_BS!V30</f>
        <v>0</v>
      </c>
      <c r="W17" s="407">
        <f>Bilans_BS!W30</f>
        <v>0</v>
      </c>
      <c r="X17" s="408">
        <f>Bilans_BS!X30</f>
        <v>0</v>
      </c>
      <c r="Y17" s="408">
        <f>Bilans_BS!Y30</f>
        <v>0</v>
      </c>
      <c r="Z17" s="504">
        <f>Bilans_BS!Z30</f>
        <v>0</v>
      </c>
      <c r="AA17" s="407">
        <f>Bilans_BS!AA30</f>
        <v>0</v>
      </c>
      <c r="AB17" s="408">
        <f>Bilans_BS!AB30</f>
        <v>0</v>
      </c>
      <c r="AC17" s="408">
        <f>Bilans_BS!AC30</f>
        <v>0</v>
      </c>
      <c r="AD17" s="504">
        <f>Bilans_BS!AD30</f>
        <v>0</v>
      </c>
      <c r="AE17" s="407">
        <f>Bilans_BS!AE30</f>
        <v>0</v>
      </c>
      <c r="AF17" s="408">
        <f>Bilans_BS!AF30</f>
        <v>0</v>
      </c>
      <c r="AG17" s="408">
        <f>Bilans_BS!AG30</f>
        <v>0</v>
      </c>
      <c r="AH17" s="504">
        <f>Bilans_BS!AH30</f>
        <v>0</v>
      </c>
      <c r="AI17" s="407">
        <f>Bilans_BS!AI30</f>
        <v>0</v>
      </c>
      <c r="AJ17" s="408">
        <f>Bilans_BS!AJ30</f>
        <v>0</v>
      </c>
      <c r="AK17" s="408">
        <f>Bilans_BS!AK30</f>
        <v>0</v>
      </c>
      <c r="AL17" s="408">
        <f>Bilans_BS!AL30</f>
        <v>0</v>
      </c>
      <c r="AM17" s="407">
        <f>Bilans_BS!AM30</f>
        <v>641.6</v>
      </c>
      <c r="AN17" s="408">
        <f>Bilans_BS!AN30</f>
        <v>665.2</v>
      </c>
      <c r="AO17" s="408">
        <f>Bilans_BS!AO30</f>
        <v>648.1</v>
      </c>
      <c r="AP17" s="408">
        <f>Bilans_BS!AP30</f>
        <v>664.9</v>
      </c>
      <c r="AQ17" s="407">
        <f>Bilans_BS!AQ30</f>
        <v>634.20000000000005</v>
      </c>
      <c r="AR17" s="408">
        <f>Bilans_BS!AR30</f>
        <v>635.29999999999995</v>
      </c>
      <c r="AS17" s="408">
        <f>Bilans_BS!AS30</f>
        <v>647.70000000000005</v>
      </c>
      <c r="AT17" s="408">
        <f>Bilans_BS!AT30</f>
        <v>626.9</v>
      </c>
      <c r="AU17" s="407">
        <f>Bilans_BS!AU30</f>
        <v>632.4</v>
      </c>
      <c r="AV17" s="408">
        <f>Bilans_BS!AV30</f>
        <v>655.6</v>
      </c>
      <c r="AW17" s="408">
        <f>Bilans_BS!AW30</f>
        <v>641.9</v>
      </c>
      <c r="AX17" s="408">
        <f>Bilans_BS!AX30</f>
        <v>1076.9000000000001</v>
      </c>
      <c r="AY17" s="407">
        <f>Bilans_BS!AY30</f>
        <v>1077.2</v>
      </c>
      <c r="AZ17" s="408">
        <f>Bilans_BS!AZ30</f>
        <v>1065</v>
      </c>
      <c r="BA17" s="408">
        <f>Bilans_BS!BA30</f>
        <v>2188.6999999999998</v>
      </c>
      <c r="BB17" s="408">
        <f>Bilans_BS!BB30</f>
        <v>2131.1</v>
      </c>
      <c r="BC17" s="407">
        <f>Bilans_BS!BC30</f>
        <v>2278.1</v>
      </c>
      <c r="BD17" s="408">
        <f>Bilans_BS!BD30</f>
        <v>2235.1</v>
      </c>
      <c r="BE17" s="408">
        <f>Bilans_BS!BE30</f>
        <v>2265.1999999999998</v>
      </c>
      <c r="BF17" s="408">
        <f>Bilans_BS!BF30</f>
        <v>2309.1999999999998</v>
      </c>
    </row>
    <row r="18" spans="1:58" s="424" customFormat="1" ht="11.25">
      <c r="A18" s="421"/>
      <c r="B18" s="508"/>
      <c r="C18" s="407"/>
      <c r="D18" s="408"/>
      <c r="E18" s="408"/>
      <c r="F18" s="408"/>
      <c r="G18" s="407"/>
      <c r="H18" s="408"/>
      <c r="I18" s="408"/>
      <c r="J18" s="504"/>
      <c r="K18" s="407"/>
      <c r="L18" s="408"/>
      <c r="M18" s="408"/>
      <c r="N18" s="504"/>
      <c r="O18" s="407"/>
      <c r="P18" s="408"/>
      <c r="Q18" s="408"/>
      <c r="R18" s="504"/>
      <c r="S18" s="407"/>
      <c r="T18" s="408"/>
      <c r="U18" s="408"/>
      <c r="V18" s="504"/>
      <c r="W18" s="407"/>
      <c r="X18" s="408"/>
      <c r="Y18" s="408"/>
      <c r="Z18" s="504"/>
      <c r="AA18" s="407"/>
      <c r="AB18" s="408"/>
      <c r="AC18" s="408"/>
      <c r="AD18" s="504"/>
      <c r="AE18" s="407"/>
      <c r="AF18" s="408"/>
      <c r="AG18" s="408"/>
      <c r="AH18" s="504"/>
      <c r="AI18" s="407"/>
      <c r="AJ18" s="408"/>
      <c r="AK18" s="408"/>
      <c r="AL18" s="408"/>
      <c r="AM18" s="407"/>
      <c r="AN18" s="408"/>
      <c r="AO18" s="408"/>
      <c r="AP18" s="408"/>
      <c r="AQ18" s="407"/>
      <c r="AR18" s="408"/>
      <c r="AS18" s="408"/>
      <c r="AT18" s="408"/>
      <c r="AU18" s="407"/>
      <c r="AV18" s="408"/>
      <c r="AW18" s="408"/>
      <c r="AX18" s="408"/>
      <c r="AY18" s="407"/>
      <c r="AZ18" s="408"/>
      <c r="BA18" s="408"/>
      <c r="BB18" s="408"/>
      <c r="BC18" s="407"/>
      <c r="BD18" s="408"/>
      <c r="BE18" s="408"/>
      <c r="BF18" s="408"/>
    </row>
    <row r="19" spans="1:58" s="424" customFormat="1" ht="11.25">
      <c r="A19" s="421" t="str">
        <f>'Wynik odsetkowy_Interest income'!A29</f>
        <v>Net interest income</v>
      </c>
      <c r="B19" s="421" t="str">
        <f>'Wynik odsetkowy_Interest income'!B29</f>
        <v>Wynik z tytułu odsetek</v>
      </c>
      <c r="C19" s="405">
        <f t="shared" ref="C19:AX19" si="10">C20-C21</f>
        <v>236.10000000000002</v>
      </c>
      <c r="D19" s="406">
        <f t="shared" si="10"/>
        <v>246.89999999999986</v>
      </c>
      <c r="E19" s="406">
        <f t="shared" si="10"/>
        <v>254.59999999999997</v>
      </c>
      <c r="F19" s="406">
        <f t="shared" si="10"/>
        <v>263.2</v>
      </c>
      <c r="G19" s="405">
        <f t="shared" si="10"/>
        <v>283.40302757000001</v>
      </c>
      <c r="H19" s="406">
        <f t="shared" si="10"/>
        <v>315.79263037999988</v>
      </c>
      <c r="I19" s="406">
        <f t="shared" si="10"/>
        <v>320.90466633000005</v>
      </c>
      <c r="J19" s="510">
        <f t="shared" si="10"/>
        <v>332.49967572000003</v>
      </c>
      <c r="K19" s="405">
        <f t="shared" si="10"/>
        <v>311.10000000000002</v>
      </c>
      <c r="L19" s="406">
        <f t="shared" si="10"/>
        <v>359</v>
      </c>
      <c r="M19" s="406">
        <f t="shared" si="10"/>
        <v>378.00000000000017</v>
      </c>
      <c r="N19" s="510">
        <f t="shared" si="10"/>
        <v>354.39999999999992</v>
      </c>
      <c r="O19" s="405">
        <f t="shared" si="10"/>
        <v>390.39999999999992</v>
      </c>
      <c r="P19" s="406">
        <f t="shared" si="10"/>
        <v>405.3</v>
      </c>
      <c r="Q19" s="406">
        <f t="shared" si="10"/>
        <v>410.20000000000005</v>
      </c>
      <c r="R19" s="510">
        <f t="shared" si="10"/>
        <v>421.7000000000001</v>
      </c>
      <c r="S19" s="405">
        <f t="shared" si="10"/>
        <v>434.89999999999981</v>
      </c>
      <c r="T19" s="406">
        <f t="shared" si="10"/>
        <v>459.50000000000006</v>
      </c>
      <c r="U19" s="406">
        <f t="shared" si="10"/>
        <v>477.40000000000003</v>
      </c>
      <c r="V19" s="510">
        <f t="shared" si="10"/>
        <v>479.7</v>
      </c>
      <c r="W19" s="405">
        <f t="shared" si="10"/>
        <v>513.50000000000011</v>
      </c>
      <c r="X19" s="406">
        <f t="shared" si="10"/>
        <v>514.09999999999991</v>
      </c>
      <c r="Y19" s="406">
        <f t="shared" si="10"/>
        <v>515.5</v>
      </c>
      <c r="Z19" s="510">
        <f t="shared" si="10"/>
        <v>505.80000000000007</v>
      </c>
      <c r="AA19" s="405">
        <f t="shared" si="10"/>
        <v>475.79999999999995</v>
      </c>
      <c r="AB19" s="406">
        <f t="shared" si="10"/>
        <v>495.29999999999995</v>
      </c>
      <c r="AC19" s="406">
        <f t="shared" si="10"/>
        <v>526.09999999999968</v>
      </c>
      <c r="AD19" s="510">
        <f t="shared" si="10"/>
        <v>545.4</v>
      </c>
      <c r="AE19" s="405">
        <f t="shared" si="10"/>
        <v>567.90000000000009</v>
      </c>
      <c r="AF19" s="406">
        <f t="shared" si="10"/>
        <v>582.19999999999982</v>
      </c>
      <c r="AG19" s="406">
        <f t="shared" si="10"/>
        <v>596.90000000000009</v>
      </c>
      <c r="AH19" s="510">
        <f t="shared" si="10"/>
        <v>583.19999999999993</v>
      </c>
      <c r="AI19" s="405">
        <f t="shared" si="10"/>
        <v>569</v>
      </c>
      <c r="AJ19" s="406">
        <f t="shared" si="10"/>
        <v>594.09999999999991</v>
      </c>
      <c r="AK19" s="406">
        <f t="shared" si="10"/>
        <v>644.6</v>
      </c>
      <c r="AL19" s="406">
        <f t="shared" si="10"/>
        <v>659.40000000000009</v>
      </c>
      <c r="AM19" s="405">
        <f t="shared" si="10"/>
        <v>668.1</v>
      </c>
      <c r="AN19" s="406">
        <f t="shared" si="10"/>
        <v>690.90000000000009</v>
      </c>
      <c r="AO19" s="406">
        <f t="shared" si="10"/>
        <v>784.90000000000009</v>
      </c>
      <c r="AP19" s="406">
        <f t="shared" si="10"/>
        <v>809.49999999999977</v>
      </c>
      <c r="AQ19" s="405">
        <f t="shared" si="10"/>
        <v>794.8</v>
      </c>
      <c r="AR19" s="406">
        <f t="shared" si="10"/>
        <v>830.49999999999989</v>
      </c>
      <c r="AS19" s="406">
        <f t="shared" si="10"/>
        <v>868.90000000000009</v>
      </c>
      <c r="AT19" s="406">
        <f t="shared" si="10"/>
        <v>895.20000000000027</v>
      </c>
      <c r="AU19" s="405">
        <f t="shared" si="10"/>
        <v>882.99999999999989</v>
      </c>
      <c r="AV19" s="406">
        <f t="shared" si="10"/>
        <v>920</v>
      </c>
      <c r="AW19" s="406">
        <f t="shared" si="10"/>
        <v>961.2</v>
      </c>
      <c r="AX19" s="406">
        <f t="shared" si="10"/>
        <v>995.09999999999991</v>
      </c>
      <c r="AY19" s="405">
        <f t="shared" ref="AY19:AZ19" si="11">AY20-AY21</f>
        <v>1020.1999999999999</v>
      </c>
      <c r="AZ19" s="406">
        <f t="shared" si="11"/>
        <v>1053.1999999999998</v>
      </c>
      <c r="BA19" s="406">
        <f t="shared" ref="BA19:BC19" si="12">BA20-BA21</f>
        <v>1127.8</v>
      </c>
      <c r="BB19" s="406">
        <f t="shared" si="12"/>
        <v>1123.8999999999996</v>
      </c>
      <c r="BC19" s="405">
        <f t="shared" si="12"/>
        <v>1152.1000000000001</v>
      </c>
      <c r="BD19" s="406">
        <f t="shared" ref="BD19:BE19" si="13">BD20-BD21</f>
        <v>1099.2</v>
      </c>
      <c r="BE19" s="406">
        <f t="shared" si="13"/>
        <v>1136.3</v>
      </c>
      <c r="BF19" s="406">
        <f t="shared" ref="BF19" si="14">BF20-BF21</f>
        <v>1154.2</v>
      </c>
    </row>
    <row r="20" spans="1:58" s="424" customFormat="1" ht="11.25">
      <c r="A20" s="411" t="str">
        <f>'Wynik odsetkowy_Interest income'!A18</f>
        <v>Total interest income</v>
      </c>
      <c r="B20" s="411" t="str">
        <f>'Wynik odsetkowy_Interest income'!B18</f>
        <v>Razem przychody z tytułu odsetek</v>
      </c>
      <c r="C20" s="407">
        <f>'Wynik odsetkowy_Interest income'!C18</f>
        <v>556</v>
      </c>
      <c r="D20" s="408">
        <f>'Wynik odsetkowy_Interest income'!D18</f>
        <v>585.99999999999989</v>
      </c>
      <c r="E20" s="408">
        <f>'Wynik odsetkowy_Interest income'!E18</f>
        <v>618.29999999999995</v>
      </c>
      <c r="F20" s="408">
        <f>'Wynik odsetkowy_Interest income'!F18</f>
        <v>673.3</v>
      </c>
      <c r="G20" s="407">
        <f>'Wynik odsetkowy_Interest income'!G18</f>
        <v>750.50302756999997</v>
      </c>
      <c r="H20" s="408">
        <f>'Wynik odsetkowy_Interest income'!H18</f>
        <v>855.29263037999988</v>
      </c>
      <c r="I20" s="408">
        <f>'Wynik odsetkowy_Interest income'!I18</f>
        <v>910.10466632999999</v>
      </c>
      <c r="J20" s="504">
        <f>'Wynik odsetkowy_Interest income'!J18</f>
        <v>982.79967571999998</v>
      </c>
      <c r="K20" s="407">
        <f>'Wynik odsetkowy_Interest income'!K18</f>
        <v>860.80000000000007</v>
      </c>
      <c r="L20" s="408">
        <f>'Wynik odsetkowy_Interest income'!L18</f>
        <v>773.3</v>
      </c>
      <c r="M20" s="408">
        <f>'Wynik odsetkowy_Interest income'!M18</f>
        <v>732.10000000000014</v>
      </c>
      <c r="N20" s="504">
        <f>'Wynik odsetkowy_Interest income'!N18</f>
        <v>711.49999999999989</v>
      </c>
      <c r="O20" s="407">
        <f>'Wynik odsetkowy_Interest income'!O18</f>
        <v>726.8</v>
      </c>
      <c r="P20" s="408">
        <f>'Wynik odsetkowy_Interest income'!P18</f>
        <v>723.1</v>
      </c>
      <c r="Q20" s="408">
        <f>'Wynik odsetkowy_Interest income'!Q18</f>
        <v>747.30000000000007</v>
      </c>
      <c r="R20" s="504">
        <f>'Wynik odsetkowy_Interest income'!R18</f>
        <v>751.50000000000011</v>
      </c>
      <c r="S20" s="407">
        <f>'Wynik odsetkowy_Interest income'!S18</f>
        <v>772.5999999999998</v>
      </c>
      <c r="T20" s="408">
        <f>'Wynik odsetkowy_Interest income'!T18</f>
        <v>833.6</v>
      </c>
      <c r="U20" s="408">
        <f>'Wynik odsetkowy_Interest income'!U18</f>
        <v>882.30000000000007</v>
      </c>
      <c r="V20" s="504">
        <f>'Wynik odsetkowy_Interest income'!V18</f>
        <v>897</v>
      </c>
      <c r="W20" s="407">
        <f>'Wynik odsetkowy_Interest income'!W18</f>
        <v>945.2</v>
      </c>
      <c r="X20" s="408">
        <f>'Wynik odsetkowy_Interest income'!X18</f>
        <v>945.19999999999993</v>
      </c>
      <c r="Y20" s="408">
        <f>'Wynik odsetkowy_Interest income'!Y18</f>
        <v>963.2</v>
      </c>
      <c r="Z20" s="504">
        <f>'Wynik odsetkowy_Interest income'!Z18</f>
        <v>977.90000000000009</v>
      </c>
      <c r="AA20" s="407">
        <f>'Wynik odsetkowy_Interest income'!AA18</f>
        <v>925.09999999999991</v>
      </c>
      <c r="AB20" s="408">
        <f>'Wynik odsetkowy_Interest income'!AB18</f>
        <v>902.8</v>
      </c>
      <c r="AC20" s="408">
        <f>'Wynik odsetkowy_Interest income'!AC18</f>
        <v>895.39999999999975</v>
      </c>
      <c r="AD20" s="504">
        <f>'Wynik odsetkowy_Interest income'!AD18</f>
        <v>891.4</v>
      </c>
      <c r="AE20" s="407">
        <f>'Wynik odsetkowy_Interest income'!AE18</f>
        <v>903.80000000000007</v>
      </c>
      <c r="AF20" s="408">
        <f>'Wynik odsetkowy_Interest income'!AF18</f>
        <v>932.59999999999991</v>
      </c>
      <c r="AG20" s="408">
        <f>'Wynik odsetkowy_Interest income'!AG18</f>
        <v>962.2</v>
      </c>
      <c r="AH20" s="504">
        <f>'Wynik odsetkowy_Interest income'!AH18</f>
        <v>925.9</v>
      </c>
      <c r="AI20" s="407">
        <f>'Wynik odsetkowy_Interest income'!AI18</f>
        <v>887</v>
      </c>
      <c r="AJ20" s="408">
        <f>'Wynik odsetkowy_Interest income'!AJ18</f>
        <v>878</v>
      </c>
      <c r="AK20" s="408">
        <f>'Wynik odsetkowy_Interest income'!AK18</f>
        <v>928.5</v>
      </c>
      <c r="AL20" s="408">
        <f>'Wynik odsetkowy_Interest income'!AL18</f>
        <v>935.1</v>
      </c>
      <c r="AM20" s="407">
        <f>'Wynik odsetkowy_Interest income'!AM18</f>
        <v>935</v>
      </c>
      <c r="AN20" s="408">
        <f>'Wynik odsetkowy_Interest income'!AN18</f>
        <v>961.2</v>
      </c>
      <c r="AO20" s="408">
        <f>'Wynik odsetkowy_Interest income'!AO18</f>
        <v>1010.5000000000001</v>
      </c>
      <c r="AP20" s="408">
        <f>'Wynik odsetkowy_Interest income'!AP18</f>
        <v>1016.1999999999998</v>
      </c>
      <c r="AQ20" s="407">
        <f>'Wynik odsetkowy_Interest income'!AQ18</f>
        <v>1004.3</v>
      </c>
      <c r="AR20" s="408">
        <f>'Wynik odsetkowy_Interest income'!AR18</f>
        <v>1040.5999999999999</v>
      </c>
      <c r="AS20" s="408">
        <f>'Wynik odsetkowy_Interest income'!AS18</f>
        <v>1081.6000000000001</v>
      </c>
      <c r="AT20" s="408">
        <f>'Wynik odsetkowy_Interest income'!AT18</f>
        <v>1111.0000000000002</v>
      </c>
      <c r="AU20" s="407">
        <f>'Wynik odsetkowy_Interest income'!AU18</f>
        <v>1098.0999999999999</v>
      </c>
      <c r="AV20" s="408">
        <f>'Wynik odsetkowy_Interest income'!AV18</f>
        <v>1150.2</v>
      </c>
      <c r="AW20" s="408">
        <f>'Wynik odsetkowy_Interest income'!AW18</f>
        <v>1194.7</v>
      </c>
      <c r="AX20" s="408">
        <f>'Wynik odsetkowy_Interest income'!AX18</f>
        <v>1230.8</v>
      </c>
      <c r="AY20" s="407">
        <f>'Wynik odsetkowy_Interest income'!AY18</f>
        <v>1263.0999999999999</v>
      </c>
      <c r="AZ20" s="408">
        <f>'Wynik odsetkowy_Interest income'!AZ18</f>
        <v>1314.1</v>
      </c>
      <c r="BA20" s="408">
        <f>'Wynik odsetkowy_Interest income'!BA18</f>
        <v>1367.5</v>
      </c>
      <c r="BB20" s="408">
        <f>'Wynik odsetkowy_Interest income'!BB18</f>
        <v>1366.5999999999997</v>
      </c>
      <c r="BC20" s="407">
        <f>'Wynik odsetkowy_Interest income'!BC18</f>
        <v>1386.6000000000001</v>
      </c>
      <c r="BD20" s="408">
        <f>'Wynik odsetkowy_Interest income'!BD18</f>
        <v>1304</v>
      </c>
      <c r="BE20" s="408">
        <f>'Wynik odsetkowy_Interest income'!BE18</f>
        <v>1277.3</v>
      </c>
      <c r="BF20" s="408">
        <f>'Wynik odsetkowy_Interest income'!BF18</f>
        <v>1279</v>
      </c>
    </row>
    <row r="21" spans="1:58" s="424" customFormat="1" ht="11.25">
      <c r="A21" s="411" t="str">
        <f>'Wynik odsetkowy_Interest income'!A27</f>
        <v>Total interest expenses</v>
      </c>
      <c r="B21" s="411" t="str">
        <f>'Wynik odsetkowy_Interest income'!B27</f>
        <v>Razem koszty odsetek</v>
      </c>
      <c r="C21" s="407">
        <f>'Wynik odsetkowy_Interest income'!C27</f>
        <v>319.89999999999998</v>
      </c>
      <c r="D21" s="408">
        <f>'Wynik odsetkowy_Interest income'!D27</f>
        <v>339.1</v>
      </c>
      <c r="E21" s="408">
        <f>'Wynik odsetkowy_Interest income'!E27</f>
        <v>363.7</v>
      </c>
      <c r="F21" s="408">
        <f>'Wynik odsetkowy_Interest income'!F27</f>
        <v>410.09999999999997</v>
      </c>
      <c r="G21" s="407">
        <f>'Wynik odsetkowy_Interest income'!G27</f>
        <v>467.09999999999997</v>
      </c>
      <c r="H21" s="408">
        <f>'Wynik odsetkowy_Interest income'!H27</f>
        <v>539.5</v>
      </c>
      <c r="I21" s="408">
        <f>'Wynik odsetkowy_Interest income'!I27</f>
        <v>589.19999999999993</v>
      </c>
      <c r="J21" s="504">
        <f>'Wynik odsetkowy_Interest income'!J27</f>
        <v>650.29999999999995</v>
      </c>
      <c r="K21" s="407">
        <f>'Wynik odsetkowy_Interest income'!K27</f>
        <v>549.70000000000005</v>
      </c>
      <c r="L21" s="408">
        <f>'Wynik odsetkowy_Interest income'!L27</f>
        <v>414.29999999999995</v>
      </c>
      <c r="M21" s="408">
        <f>'Wynik odsetkowy_Interest income'!M27</f>
        <v>354.09999999999997</v>
      </c>
      <c r="N21" s="504">
        <f>'Wynik odsetkowy_Interest income'!N27</f>
        <v>357.09999999999997</v>
      </c>
      <c r="O21" s="407">
        <f>'Wynik odsetkowy_Interest income'!O27</f>
        <v>336.40000000000003</v>
      </c>
      <c r="P21" s="408">
        <f>'Wynik odsetkowy_Interest income'!P27</f>
        <v>317.8</v>
      </c>
      <c r="Q21" s="408">
        <f>'Wynik odsetkowy_Interest income'!Q27</f>
        <v>337.1</v>
      </c>
      <c r="R21" s="504">
        <f>'Wynik odsetkowy_Interest income'!R27</f>
        <v>329.8</v>
      </c>
      <c r="S21" s="407">
        <f>'Wynik odsetkowy_Interest income'!S27</f>
        <v>337.7</v>
      </c>
      <c r="T21" s="408">
        <f>'Wynik odsetkowy_Interest income'!T27</f>
        <v>374.09999999999997</v>
      </c>
      <c r="U21" s="408">
        <f>'Wynik odsetkowy_Interest income'!U27</f>
        <v>404.90000000000003</v>
      </c>
      <c r="V21" s="504">
        <f>'Wynik odsetkowy_Interest income'!V27</f>
        <v>417.3</v>
      </c>
      <c r="W21" s="407">
        <f>'Wynik odsetkowy_Interest income'!W27</f>
        <v>431.69999999999993</v>
      </c>
      <c r="X21" s="408">
        <f>'Wynik odsetkowy_Interest income'!X27</f>
        <v>431.1</v>
      </c>
      <c r="Y21" s="408">
        <f>'Wynik odsetkowy_Interest income'!Y27</f>
        <v>447.7</v>
      </c>
      <c r="Z21" s="504">
        <f>'Wynik odsetkowy_Interest income'!Z27</f>
        <v>472.1</v>
      </c>
      <c r="AA21" s="407">
        <f>'Wynik odsetkowy_Interest income'!AA27</f>
        <v>449.29999999999995</v>
      </c>
      <c r="AB21" s="408">
        <f>'Wynik odsetkowy_Interest income'!AB27</f>
        <v>407.5</v>
      </c>
      <c r="AC21" s="408">
        <f>'Wynik odsetkowy_Interest income'!AC27</f>
        <v>369.30000000000007</v>
      </c>
      <c r="AD21" s="504">
        <f>'Wynik odsetkowy_Interest income'!AD27</f>
        <v>346</v>
      </c>
      <c r="AE21" s="407">
        <f>'Wynik odsetkowy_Interest income'!AE27</f>
        <v>335.89999999999992</v>
      </c>
      <c r="AF21" s="408">
        <f>'Wynik odsetkowy_Interest income'!AF27</f>
        <v>350.40000000000003</v>
      </c>
      <c r="AG21" s="408">
        <f>'Wynik odsetkowy_Interest income'!AG27</f>
        <v>365.3</v>
      </c>
      <c r="AH21" s="504">
        <f>'Wynik odsetkowy_Interest income'!AH27</f>
        <v>342.70000000000005</v>
      </c>
      <c r="AI21" s="407">
        <f>'Wynik odsetkowy_Interest income'!AI27</f>
        <v>318</v>
      </c>
      <c r="AJ21" s="408">
        <f>'Wynik odsetkowy_Interest income'!AJ27</f>
        <v>283.90000000000003</v>
      </c>
      <c r="AK21" s="408">
        <f>'Wynik odsetkowy_Interest income'!AK27</f>
        <v>283.89999999999998</v>
      </c>
      <c r="AL21" s="408">
        <f>'Wynik odsetkowy_Interest income'!AL27</f>
        <v>275.7</v>
      </c>
      <c r="AM21" s="407">
        <f>'Wynik odsetkowy_Interest income'!AM27</f>
        <v>266.89999999999998</v>
      </c>
      <c r="AN21" s="408">
        <f>'Wynik odsetkowy_Interest income'!AN27</f>
        <v>270.3</v>
      </c>
      <c r="AO21" s="408">
        <f>'Wynik odsetkowy_Interest income'!AO27</f>
        <v>225.6</v>
      </c>
      <c r="AP21" s="408">
        <f>'Wynik odsetkowy_Interest income'!AP27</f>
        <v>206.70000000000002</v>
      </c>
      <c r="AQ21" s="407">
        <f>'Wynik odsetkowy_Interest income'!AQ27</f>
        <v>209.49999999999997</v>
      </c>
      <c r="AR21" s="408">
        <f>'Wynik odsetkowy_Interest income'!AR27</f>
        <v>210.1</v>
      </c>
      <c r="AS21" s="408">
        <f>'Wynik odsetkowy_Interest income'!AS27</f>
        <v>212.7</v>
      </c>
      <c r="AT21" s="408">
        <f>'Wynik odsetkowy_Interest income'!AT27</f>
        <v>215.79999999999998</v>
      </c>
      <c r="AU21" s="407">
        <f>'Wynik odsetkowy_Interest income'!AU27</f>
        <v>215.1</v>
      </c>
      <c r="AV21" s="408">
        <f>'Wynik odsetkowy_Interest income'!AV27</f>
        <v>230.2</v>
      </c>
      <c r="AW21" s="408">
        <f>'Wynik odsetkowy_Interest income'!AW27</f>
        <v>233.5</v>
      </c>
      <c r="AX21" s="408">
        <f>'Wynik odsetkowy_Interest income'!AX27</f>
        <v>235.70000000000002</v>
      </c>
      <c r="AY21" s="407">
        <f>'Wynik odsetkowy_Interest income'!AY27</f>
        <v>242.89999999999998</v>
      </c>
      <c r="AZ21" s="408">
        <f>'Wynik odsetkowy_Interest income'!AZ27</f>
        <v>260.90000000000003</v>
      </c>
      <c r="BA21" s="408">
        <f>'Wynik odsetkowy_Interest income'!BA27</f>
        <v>239.70000000000002</v>
      </c>
      <c r="BB21" s="408">
        <f>'Wynik odsetkowy_Interest income'!BB27</f>
        <v>242.70000000000002</v>
      </c>
      <c r="BC21" s="407">
        <f>'Wynik odsetkowy_Interest income'!BC27</f>
        <v>234.50000000000003</v>
      </c>
      <c r="BD21" s="408">
        <f>'Wynik odsetkowy_Interest income'!BD27</f>
        <v>204.8</v>
      </c>
      <c r="BE21" s="408">
        <f>'Wynik odsetkowy_Interest income'!BE27</f>
        <v>140.99999999999997</v>
      </c>
      <c r="BF21" s="408">
        <f>'Wynik odsetkowy_Interest income'!BF27</f>
        <v>124.8</v>
      </c>
    </row>
    <row r="22" spans="1:58" s="175" customFormat="1" ht="11.25">
      <c r="A22" s="45"/>
      <c r="B22" s="30"/>
      <c r="C22" s="61"/>
      <c r="D22" s="62"/>
      <c r="E22" s="62"/>
      <c r="F22" s="62"/>
      <c r="G22" s="61"/>
      <c r="H22" s="62"/>
      <c r="I22" s="62"/>
      <c r="J22" s="70"/>
      <c r="K22" s="61"/>
      <c r="L22" s="62"/>
      <c r="M22" s="62"/>
      <c r="N22" s="70"/>
      <c r="O22" s="61"/>
      <c r="P22" s="62"/>
      <c r="Q22" s="62"/>
      <c r="R22" s="70"/>
      <c r="S22" s="61"/>
      <c r="T22" s="62"/>
      <c r="U22" s="62"/>
      <c r="V22" s="70"/>
      <c r="W22" s="61"/>
      <c r="X22" s="62"/>
      <c r="Y22" s="62"/>
      <c r="Z22" s="70"/>
      <c r="AA22" s="61"/>
      <c r="AB22" s="62"/>
      <c r="AC22" s="62"/>
      <c r="AD22" s="70"/>
      <c r="AE22" s="61"/>
      <c r="AF22" s="62"/>
      <c r="AG22" s="62"/>
      <c r="AH22" s="70"/>
      <c r="AI22" s="61"/>
      <c r="AJ22" s="62"/>
      <c r="AK22" s="62"/>
      <c r="AL22" s="62"/>
      <c r="AM22" s="61"/>
      <c r="AN22" s="62"/>
      <c r="AO22" s="62"/>
      <c r="AP22" s="62"/>
      <c r="AQ22" s="61"/>
      <c r="AR22" s="62"/>
      <c r="AS22" s="62"/>
      <c r="AT22" s="62"/>
      <c r="AU22" s="61"/>
      <c r="AV22" s="62"/>
      <c r="AW22" s="62"/>
      <c r="AX22" s="62"/>
      <c r="AY22" s="61"/>
      <c r="AZ22" s="62"/>
      <c r="BA22" s="62"/>
      <c r="BB22" s="62"/>
      <c r="BC22" s="61"/>
      <c r="BD22" s="62"/>
      <c r="BE22" s="62"/>
      <c r="BF22" s="62"/>
    </row>
    <row r="23" spans="1:58" s="332" customFormat="1" ht="11.25">
      <c r="A23" s="329" t="s">
        <v>802</v>
      </c>
      <c r="B23" s="329" t="s">
        <v>803</v>
      </c>
      <c r="C23" s="330"/>
      <c r="D23" s="330">
        <f t="shared" ref="D23:BF23" si="15">D19*4/AVERAGE(C5:D5)</f>
        <v>1.9222029426677074E-2</v>
      </c>
      <c r="E23" s="330">
        <f t="shared" si="15"/>
        <v>2.0445344739148195E-2</v>
      </c>
      <c r="F23" s="330">
        <f t="shared" si="15"/>
        <v>2.1216566978896286E-2</v>
      </c>
      <c r="G23" s="331">
        <f t="shared" si="15"/>
        <v>2.1356791961522015E-2</v>
      </c>
      <c r="H23" s="330">
        <f t="shared" si="15"/>
        <v>2.1985867267497763E-2</v>
      </c>
      <c r="I23" s="330">
        <f t="shared" si="15"/>
        <v>2.1493661593950518E-2</v>
      </c>
      <c r="J23" s="330">
        <f t="shared" si="15"/>
        <v>2.0662292411804551E-2</v>
      </c>
      <c r="K23" s="331">
        <f t="shared" si="15"/>
        <v>1.8832659621318863E-2</v>
      </c>
      <c r="L23" s="330">
        <f t="shared" si="15"/>
        <v>2.2530349683265019E-2</v>
      </c>
      <c r="M23" s="330">
        <f t="shared" si="15"/>
        <v>2.4496620373670678E-2</v>
      </c>
      <c r="N23" s="330">
        <f t="shared" si="15"/>
        <v>2.4214266192948888E-2</v>
      </c>
      <c r="O23" s="331">
        <f t="shared" si="15"/>
        <v>2.7342190596919797E-2</v>
      </c>
      <c r="P23" s="330">
        <f t="shared" si="15"/>
        <v>2.7859571400462437E-2</v>
      </c>
      <c r="Q23" s="330">
        <f t="shared" si="15"/>
        <v>2.7928225413868114E-2</v>
      </c>
      <c r="R23" s="330">
        <f t="shared" si="15"/>
        <v>2.8090837254498693E-2</v>
      </c>
      <c r="S23" s="331">
        <f t="shared" si="15"/>
        <v>2.8175812143975864E-2</v>
      </c>
      <c r="T23" s="330">
        <f t="shared" si="15"/>
        <v>2.887319905777232E-2</v>
      </c>
      <c r="U23" s="330">
        <f t="shared" si="15"/>
        <v>2.8805519750621674E-2</v>
      </c>
      <c r="V23" s="330">
        <f t="shared" si="15"/>
        <v>2.8455775871465552E-2</v>
      </c>
      <c r="W23" s="331">
        <f t="shared" si="15"/>
        <v>3.0229710477670643E-2</v>
      </c>
      <c r="X23" s="330">
        <f t="shared" si="15"/>
        <v>3.0347638664757023E-2</v>
      </c>
      <c r="Y23" s="330">
        <f t="shared" si="15"/>
        <v>3.0254722164958666E-2</v>
      </c>
      <c r="Z23" s="330">
        <f t="shared" si="15"/>
        <v>2.835954895533498E-2</v>
      </c>
      <c r="AA23" s="331">
        <f t="shared" si="15"/>
        <v>2.6159494293761004E-2</v>
      </c>
      <c r="AB23" s="330">
        <f t="shared" si="15"/>
        <v>2.6171868807761199E-2</v>
      </c>
      <c r="AC23" s="330">
        <f t="shared" si="15"/>
        <v>2.6772668316740342E-2</v>
      </c>
      <c r="AD23" s="330">
        <f t="shared" si="15"/>
        <v>2.7822041469074188E-2</v>
      </c>
      <c r="AE23" s="331">
        <f t="shared" si="15"/>
        <v>2.8111791272796127E-2</v>
      </c>
      <c r="AF23" s="330">
        <f t="shared" si="15"/>
        <v>2.7055443444155152E-2</v>
      </c>
      <c r="AG23" s="330">
        <f t="shared" si="15"/>
        <v>2.6379871923489982E-2</v>
      </c>
      <c r="AH23" s="330">
        <f t="shared" si="15"/>
        <v>2.5176509694812527E-2</v>
      </c>
      <c r="AI23" s="331">
        <f t="shared" si="15"/>
        <v>2.3740234273137862E-2</v>
      </c>
      <c r="AJ23" s="330">
        <f t="shared" si="15"/>
        <v>2.3811193786084015E-2</v>
      </c>
      <c r="AK23" s="330">
        <f t="shared" si="15"/>
        <v>2.4816659038989702E-2</v>
      </c>
      <c r="AL23" s="330">
        <f t="shared" si="15"/>
        <v>2.5025546437588423E-2</v>
      </c>
      <c r="AM23" s="331">
        <f t="shared" si="15"/>
        <v>2.5242874347651545E-2</v>
      </c>
      <c r="AN23" s="330">
        <f t="shared" si="15"/>
        <v>2.5043134070841373E-2</v>
      </c>
      <c r="AO23" s="330">
        <f t="shared" si="15"/>
        <v>2.7694932328426122E-2</v>
      </c>
      <c r="AP23" s="330">
        <f t="shared" si="15"/>
        <v>2.8414513164528182E-2</v>
      </c>
      <c r="AQ23" s="331">
        <f t="shared" si="15"/>
        <v>2.7625219134843688E-2</v>
      </c>
      <c r="AR23" s="330">
        <f t="shared" si="15"/>
        <v>2.8475327097676712E-2</v>
      </c>
      <c r="AS23" s="330">
        <f t="shared" si="15"/>
        <v>2.9419756336429424E-2</v>
      </c>
      <c r="AT23" s="330">
        <f t="shared" si="15"/>
        <v>2.9782086251443556E-2</v>
      </c>
      <c r="AU23" s="331">
        <f t="shared" si="15"/>
        <v>2.8791322823522311E-2</v>
      </c>
      <c r="AV23" s="330">
        <f t="shared" si="15"/>
        <v>2.9269324713729301E-2</v>
      </c>
      <c r="AW23" s="330">
        <f t="shared" si="15"/>
        <v>2.9733946603715585E-2</v>
      </c>
      <c r="AX23" s="330">
        <f t="shared" si="15"/>
        <v>2.9512164017758896E-2</v>
      </c>
      <c r="AY23" s="331">
        <f t="shared" si="15"/>
        <v>2.9127734695501745E-2</v>
      </c>
      <c r="AZ23" s="330">
        <f t="shared" si="15"/>
        <v>2.9285899000909273E-2</v>
      </c>
      <c r="BA23" s="330">
        <f t="shared" si="15"/>
        <v>3.0387690264076925E-2</v>
      </c>
      <c r="BB23" s="330">
        <f>BB19*4/AVERAGE(BA5:BB5)</f>
        <v>2.9410764146030628E-2</v>
      </c>
      <c r="BC23" s="331">
        <f t="shared" si="15"/>
        <v>2.8595850300562345E-2</v>
      </c>
      <c r="BD23" s="330">
        <f t="shared" si="15"/>
        <v>2.556627633244184E-2</v>
      </c>
      <c r="BE23" s="330">
        <f t="shared" si="15"/>
        <v>2.5382380321339638E-2</v>
      </c>
      <c r="BF23" s="330">
        <f t="shared" si="15"/>
        <v>2.5296383780902022E-2</v>
      </c>
    </row>
    <row r="24" spans="1:58" s="332" customFormat="1" ht="11.25">
      <c r="A24" s="333" t="s">
        <v>826</v>
      </c>
      <c r="B24" s="333" t="s">
        <v>804</v>
      </c>
      <c r="C24" s="330"/>
      <c r="D24" s="330"/>
      <c r="E24" s="330"/>
      <c r="F24" s="330"/>
      <c r="G24" s="331">
        <f t="shared" ref="G24:BF24" si="16">SUM(D19:G19)/AVERAGE(C5:G5)</f>
        <v>2.0210512435956514E-2</v>
      </c>
      <c r="H24" s="330">
        <f t="shared" si="16"/>
        <v>2.1204022172811362E-2</v>
      </c>
      <c r="I24" s="330">
        <f t="shared" si="16"/>
        <v>2.1438075887108173E-2</v>
      </c>
      <c r="J24" s="330">
        <f t="shared" si="16"/>
        <v>2.1411416801278598E-2</v>
      </c>
      <c r="K24" s="331">
        <f t="shared" si="16"/>
        <v>2.0724076510272877E-2</v>
      </c>
      <c r="L24" s="330">
        <f t="shared" si="16"/>
        <v>2.1086957676615243E-2</v>
      </c>
      <c r="M24" s="330">
        <f t="shared" si="16"/>
        <v>2.1746569641176793E-2</v>
      </c>
      <c r="N24" s="330">
        <f t="shared" si="16"/>
        <v>2.2514423678913015E-2</v>
      </c>
      <c r="O24" s="331">
        <f t="shared" si="16"/>
        <v>2.4458691748847624E-2</v>
      </c>
      <c r="P24" s="330">
        <f t="shared" si="16"/>
        <v>2.5838923791323087E-2</v>
      </c>
      <c r="Q24" s="330">
        <f t="shared" si="16"/>
        <v>2.6631042548223637E-2</v>
      </c>
      <c r="R24" s="330">
        <f t="shared" si="16"/>
        <v>2.7836706826594903E-2</v>
      </c>
      <c r="S24" s="331">
        <f t="shared" si="16"/>
        <v>2.7929648221061306E-2</v>
      </c>
      <c r="T24" s="330">
        <f t="shared" si="16"/>
        <v>2.8259537900979154E-2</v>
      </c>
      <c r="U24" s="330">
        <f t="shared" si="16"/>
        <v>2.8419228543522062E-2</v>
      </c>
      <c r="V24" s="330">
        <f t="shared" si="16"/>
        <v>2.8678979446550682E-2</v>
      </c>
      <c r="W24" s="331">
        <f t="shared" si="16"/>
        <v>2.9125662725399078E-2</v>
      </c>
      <c r="X24" s="330">
        <f t="shared" si="16"/>
        <v>2.9636675591367182E-2</v>
      </c>
      <c r="Y24" s="330">
        <f t="shared" si="16"/>
        <v>2.9717856659088823E-2</v>
      </c>
      <c r="Z24" s="330">
        <f t="shared" si="16"/>
        <v>2.9699807123025248E-2</v>
      </c>
      <c r="AA24" s="331">
        <f t="shared" si="16"/>
        <v>2.8651237849721182E-2</v>
      </c>
      <c r="AB24" s="330">
        <f t="shared" si="16"/>
        <v>2.7638342221049592E-2</v>
      </c>
      <c r="AC24" s="330">
        <f t="shared" si="16"/>
        <v>2.6874232883542126E-2</v>
      </c>
      <c r="AD24" s="330">
        <f t="shared" si="16"/>
        <v>2.6808778831643332E-2</v>
      </c>
      <c r="AE24" s="331">
        <f t="shared" si="16"/>
        <v>2.7256713371788362E-2</v>
      </c>
      <c r="AF24" s="330">
        <f t="shared" si="16"/>
        <v>2.7252201361088964E-2</v>
      </c>
      <c r="AG24" s="330">
        <f t="shared" si="16"/>
        <v>2.7212131169024802E-2</v>
      </c>
      <c r="AH24" s="330">
        <f t="shared" si="16"/>
        <v>2.6740226196011754E-2</v>
      </c>
      <c r="AI24" s="331">
        <f t="shared" si="16"/>
        <v>2.55554442315159E-2</v>
      </c>
      <c r="AJ24" s="330">
        <f t="shared" si="16"/>
        <v>2.4732833258356568E-2</v>
      </c>
      <c r="AK24" s="330">
        <f t="shared" si="16"/>
        <v>2.4309049160219906E-2</v>
      </c>
      <c r="AL24" s="330">
        <f t="shared" si="16"/>
        <v>2.4500569140941779E-2</v>
      </c>
      <c r="AM24" s="331">
        <f t="shared" si="16"/>
        <v>2.476114019734036E-2</v>
      </c>
      <c r="AN24" s="330">
        <f t="shared" si="16"/>
        <v>2.5007357590939732E-2</v>
      </c>
      <c r="AO24" s="330">
        <f t="shared" si="16"/>
        <v>2.5703501903854439E-2</v>
      </c>
      <c r="AP24" s="330">
        <f t="shared" si="16"/>
        <v>2.6724743108927165E-2</v>
      </c>
      <c r="AQ24" s="331">
        <f t="shared" si="16"/>
        <v>2.7272548574108182E-2</v>
      </c>
      <c r="AR24" s="330">
        <f t="shared" si="16"/>
        <v>2.8038893743417434E-2</v>
      </c>
      <c r="AS24" s="330">
        <f t="shared" si="16"/>
        <v>2.846750437434652E-2</v>
      </c>
      <c r="AT24" s="330">
        <f t="shared" si="16"/>
        <v>2.8826909606282286E-2</v>
      </c>
      <c r="AU24" s="331">
        <f t="shared" si="16"/>
        <v>2.9091609961617752E-2</v>
      </c>
      <c r="AV24" s="330">
        <f t="shared" si="16"/>
        <v>2.9277905773257312E-2</v>
      </c>
      <c r="AW24" s="330">
        <f t="shared" si="16"/>
        <v>2.9369803661971651E-2</v>
      </c>
      <c r="AX24" s="330">
        <f t="shared" si="16"/>
        <v>2.9248456350921097E-2</v>
      </c>
      <c r="AY24" s="331">
        <f t="shared" si="16"/>
        <v>2.9397767142825236E-2</v>
      </c>
      <c r="AZ24" s="330">
        <f t="shared" si="16"/>
        <v>2.9413902965142142E-2</v>
      </c>
      <c r="BA24" s="330">
        <f t="shared" si="16"/>
        <v>2.962767676736296E-2</v>
      </c>
      <c r="BB24" s="330">
        <f t="shared" si="16"/>
        <v>2.95391224850153E-2</v>
      </c>
      <c r="BC24" s="331">
        <f t="shared" si="16"/>
        <v>2.9293907077649822E-2</v>
      </c>
      <c r="BD24" s="330">
        <f t="shared" si="16"/>
        <v>2.82905176693539E-2</v>
      </c>
      <c r="BE24" s="330">
        <f t="shared" si="16"/>
        <v>2.7139290763076369E-2</v>
      </c>
      <c r="BF24" s="330">
        <f t="shared" si="16"/>
        <v>2.6284885143536146E-2</v>
      </c>
    </row>
    <row r="25" spans="1:58" s="175" customFormat="1" ht="11.25">
      <c r="A25" s="45"/>
      <c r="B25" s="30"/>
      <c r="C25" s="61"/>
      <c r="D25" s="62"/>
      <c r="E25" s="62"/>
      <c r="F25" s="62"/>
      <c r="G25" s="61"/>
      <c r="H25" s="62"/>
      <c r="I25" s="62"/>
      <c r="J25" s="70"/>
      <c r="K25" s="61"/>
      <c r="L25" s="62"/>
      <c r="M25" s="62"/>
      <c r="N25" s="70"/>
      <c r="O25" s="61"/>
      <c r="P25" s="62"/>
      <c r="Q25" s="62"/>
      <c r="R25" s="70"/>
      <c r="S25" s="61"/>
      <c r="T25" s="62"/>
      <c r="U25" s="62"/>
      <c r="V25" s="70"/>
      <c r="W25" s="61"/>
      <c r="X25" s="62"/>
      <c r="Y25" s="62"/>
      <c r="Z25" s="70"/>
      <c r="AA25" s="61"/>
      <c r="AB25" s="62"/>
      <c r="AC25" s="62"/>
      <c r="AD25" s="70"/>
      <c r="AE25" s="61"/>
      <c r="AF25" s="62"/>
      <c r="AG25" s="62"/>
      <c r="AH25" s="70"/>
      <c r="AI25" s="61"/>
      <c r="AJ25" s="62"/>
      <c r="AK25" s="62"/>
      <c r="AL25" s="62"/>
      <c r="AM25" s="61"/>
      <c r="AN25" s="62"/>
      <c r="AO25" s="62"/>
      <c r="AP25" s="62"/>
      <c r="AQ25" s="61"/>
      <c r="AR25" s="62"/>
      <c r="AS25" s="62"/>
      <c r="AT25" s="62"/>
      <c r="AU25" s="61"/>
      <c r="AV25" s="62"/>
      <c r="AW25" s="62"/>
      <c r="AX25" s="62"/>
      <c r="AY25" s="61"/>
      <c r="AZ25" s="62"/>
      <c r="BA25" s="62"/>
      <c r="BB25" s="62"/>
      <c r="BC25" s="61"/>
      <c r="BD25" s="62"/>
      <c r="BE25" s="62"/>
      <c r="BF25" s="62"/>
    </row>
    <row r="26" spans="1:58" s="175" customFormat="1" ht="11.25">
      <c r="A26" s="35" t="s">
        <v>807</v>
      </c>
      <c r="B26" s="35" t="s">
        <v>805</v>
      </c>
      <c r="C26" s="328"/>
      <c r="D26" s="328">
        <f t="shared" ref="D26:BF26" si="17">D20*4/AVERAGE(C5:D5)</f>
        <v>4.5622151656673833E-2</v>
      </c>
      <c r="E26" s="328">
        <f t="shared" si="17"/>
        <v>4.9651832883799409E-2</v>
      </c>
      <c r="F26" s="328">
        <f t="shared" si="17"/>
        <v>5.4274751317974428E-2</v>
      </c>
      <c r="G26" s="300">
        <f t="shared" si="17"/>
        <v>5.6556689474130416E-2</v>
      </c>
      <c r="H26" s="328">
        <f t="shared" si="17"/>
        <v>5.954651387455126E-2</v>
      </c>
      <c r="I26" s="328">
        <f t="shared" si="17"/>
        <v>6.0957299053596065E-2</v>
      </c>
      <c r="J26" s="328">
        <f t="shared" si="17"/>
        <v>6.1073425825094299E-2</v>
      </c>
      <c r="K26" s="300">
        <f t="shared" si="17"/>
        <v>5.2109139832951713E-2</v>
      </c>
      <c r="L26" s="328">
        <f t="shared" si="17"/>
        <v>4.8531251838631856E-2</v>
      </c>
      <c r="M26" s="328">
        <f t="shared" si="17"/>
        <v>4.7444380358635713E-2</v>
      </c>
      <c r="N26" s="328">
        <f t="shared" si="17"/>
        <v>4.8613009018857602E-2</v>
      </c>
      <c r="O26" s="300">
        <f t="shared" si="17"/>
        <v>5.0902418355126308E-2</v>
      </c>
      <c r="P26" s="328">
        <f t="shared" si="17"/>
        <v>4.9704554847457165E-2</v>
      </c>
      <c r="Q26" s="328">
        <f t="shared" si="17"/>
        <v>5.0879480379774841E-2</v>
      </c>
      <c r="R26" s="328">
        <f t="shared" si="17"/>
        <v>5.0059910355123943E-2</v>
      </c>
      <c r="S26" s="300">
        <f t="shared" si="17"/>
        <v>5.0054339991804454E-2</v>
      </c>
      <c r="T26" s="328">
        <f t="shared" si="17"/>
        <v>5.238019311111862E-2</v>
      </c>
      <c r="U26" s="328">
        <f t="shared" si="17"/>
        <v>5.3236510423069761E-2</v>
      </c>
      <c r="V26" s="328">
        <f t="shared" si="17"/>
        <v>5.3209987401927457E-2</v>
      </c>
      <c r="W26" s="300">
        <f t="shared" si="17"/>
        <v>5.5643860454711369E-2</v>
      </c>
      <c r="X26" s="328">
        <f t="shared" si="17"/>
        <v>5.579573636632628E-2</v>
      </c>
      <c r="Y26" s="328">
        <f t="shared" si="17"/>
        <v>5.6530258757106086E-2</v>
      </c>
      <c r="Z26" s="328">
        <f t="shared" si="17"/>
        <v>5.482958268766721E-2</v>
      </c>
      <c r="AA26" s="300">
        <f t="shared" si="17"/>
        <v>5.0862018014204084E-2</v>
      </c>
      <c r="AB26" s="328">
        <f t="shared" si="17"/>
        <v>4.7704347182812058E-2</v>
      </c>
      <c r="AC26" s="328">
        <f t="shared" si="17"/>
        <v>4.5565951740751398E-2</v>
      </c>
      <c r="AD26" s="328">
        <f t="shared" si="17"/>
        <v>4.5472254795622905E-2</v>
      </c>
      <c r="AE26" s="300">
        <f t="shared" si="17"/>
        <v>4.4739279718882086E-2</v>
      </c>
      <c r="AF26" s="328">
        <f t="shared" si="17"/>
        <v>4.333889824118705E-2</v>
      </c>
      <c r="AG26" s="328">
        <f t="shared" si="17"/>
        <v>4.2524229795245526E-2</v>
      </c>
      <c r="AH26" s="328">
        <f t="shared" si="17"/>
        <v>3.997073101239184E-2</v>
      </c>
      <c r="AI26" s="300">
        <f t="shared" si="17"/>
        <v>3.7008062917879232E-2</v>
      </c>
      <c r="AJ26" s="328">
        <f t="shared" si="17"/>
        <v>3.5189746076724066E-2</v>
      </c>
      <c r="AK26" s="328">
        <f t="shared" si="17"/>
        <v>3.5746614827337785E-2</v>
      </c>
      <c r="AL26" s="328">
        <f t="shared" si="17"/>
        <v>3.5488911849846726E-2</v>
      </c>
      <c r="AM26" s="300">
        <f t="shared" si="17"/>
        <v>3.5327177840224808E-2</v>
      </c>
      <c r="AN26" s="328">
        <f t="shared" si="17"/>
        <v>3.4840730161952133E-2</v>
      </c>
      <c r="AO26" s="328">
        <f t="shared" si="17"/>
        <v>3.5655152398871952E-2</v>
      </c>
      <c r="AP26" s="328">
        <f t="shared" si="17"/>
        <v>3.5669954635940138E-2</v>
      </c>
      <c r="AQ26" s="300">
        <f t="shared" si="17"/>
        <v>3.4906904349677297E-2</v>
      </c>
      <c r="AR26" s="328">
        <f t="shared" si="17"/>
        <v>3.5679019118413473E-2</v>
      </c>
      <c r="AS26" s="328">
        <f t="shared" si="17"/>
        <v>3.6621485157649979E-2</v>
      </c>
      <c r="AT26" s="328">
        <f t="shared" si="17"/>
        <v>3.6961458696775903E-2</v>
      </c>
      <c r="AU26" s="300">
        <f t="shared" si="17"/>
        <v>3.580492819083788E-2</v>
      </c>
      <c r="AV26" s="328">
        <f t="shared" si="17"/>
        <v>3.659301878883852E-2</v>
      </c>
      <c r="AW26" s="328">
        <f t="shared" si="17"/>
        <v>3.6957080740177908E-2</v>
      </c>
      <c r="AX26" s="328">
        <f t="shared" si="17"/>
        <v>3.6502433396701492E-2</v>
      </c>
      <c r="AY26" s="300">
        <f t="shared" si="17"/>
        <v>3.6062773665838321E-2</v>
      </c>
      <c r="AZ26" s="328">
        <f t="shared" si="17"/>
        <v>3.6540637938753208E-2</v>
      </c>
      <c r="BA26" s="328">
        <f t="shared" si="17"/>
        <v>3.6846219574503632E-2</v>
      </c>
      <c r="BB26" s="328">
        <f t="shared" si="17"/>
        <v>3.5761856287895237E-2</v>
      </c>
      <c r="BC26" s="300">
        <f t="shared" si="17"/>
        <v>3.4416288539848752E-2</v>
      </c>
      <c r="BD26" s="328">
        <f t="shared" si="17"/>
        <v>3.0329716464250506E-2</v>
      </c>
      <c r="BE26" s="328">
        <f t="shared" si="17"/>
        <v>2.8532002450450691E-2</v>
      </c>
      <c r="BF26" s="328">
        <f t="shared" si="17"/>
        <v>2.8031601850436391E-2</v>
      </c>
    </row>
    <row r="27" spans="1:58" s="175" customFormat="1" ht="11.25">
      <c r="A27" s="35" t="s">
        <v>827</v>
      </c>
      <c r="B27" s="35" t="s">
        <v>806</v>
      </c>
      <c r="C27" s="328"/>
      <c r="D27" s="328"/>
      <c r="E27" s="328"/>
      <c r="F27" s="328"/>
      <c r="G27" s="300">
        <f t="shared" ref="G27:BF27" si="18">SUM(D20:G20)/AVERAGE(C5:G5)</f>
        <v>5.0677564632958784E-2</v>
      </c>
      <c r="H27" s="328">
        <f t="shared" si="18"/>
        <v>5.5001504560306218E-2</v>
      </c>
      <c r="I27" s="328">
        <f t="shared" si="18"/>
        <v>5.7779345757135454E-2</v>
      </c>
      <c r="J27" s="328">
        <f t="shared" si="18"/>
        <v>5.9805304137500744E-2</v>
      </c>
      <c r="K27" s="300">
        <f t="shared" si="18"/>
        <v>5.8418578652127358E-2</v>
      </c>
      <c r="L27" s="328">
        <f t="shared" si="18"/>
        <v>5.6194595607331067E-2</v>
      </c>
      <c r="M27" s="328">
        <f t="shared" si="18"/>
        <v>5.2751899016883451E-2</v>
      </c>
      <c r="N27" s="328">
        <f t="shared" si="18"/>
        <v>4.9406518186517347E-2</v>
      </c>
      <c r="O27" s="300">
        <f t="shared" si="18"/>
        <v>4.8588912741991327E-2</v>
      </c>
      <c r="P27" s="328">
        <f t="shared" si="18"/>
        <v>4.8926723375560068E-2</v>
      </c>
      <c r="Q27" s="328">
        <f t="shared" si="18"/>
        <v>4.9645397333857651E-2</v>
      </c>
      <c r="R27" s="328">
        <f t="shared" si="18"/>
        <v>5.0431369758896775E-2</v>
      </c>
      <c r="S27" s="300">
        <f t="shared" si="18"/>
        <v>5.001813982295801E-2</v>
      </c>
      <c r="T27" s="328">
        <f t="shared" si="18"/>
        <v>5.08288624124082E-2</v>
      </c>
      <c r="U27" s="328">
        <f t="shared" si="18"/>
        <v>5.1340005843887079E-2</v>
      </c>
      <c r="V27" s="328">
        <f t="shared" si="18"/>
        <v>5.2440013457357458E-2</v>
      </c>
      <c r="W27" s="300">
        <f t="shared" si="18"/>
        <v>5.3692565433522847E-2</v>
      </c>
      <c r="X27" s="328">
        <f t="shared" si="18"/>
        <v>5.4798059362946613E-2</v>
      </c>
      <c r="Y27" s="328">
        <f t="shared" si="18"/>
        <v>5.5101736793345138E-2</v>
      </c>
      <c r="Z27" s="328">
        <f t="shared" si="18"/>
        <v>5.553946556292217E-2</v>
      </c>
      <c r="AA27" s="300">
        <f t="shared" si="18"/>
        <v>5.4296602993450335E-2</v>
      </c>
      <c r="AB27" s="328">
        <f t="shared" si="18"/>
        <v>5.2283131816470547E-2</v>
      </c>
      <c r="AC27" s="328">
        <f t="shared" si="18"/>
        <v>4.9658966923897215E-2</v>
      </c>
      <c r="AD27" s="328">
        <f t="shared" si="18"/>
        <v>4.7442324900979715E-2</v>
      </c>
      <c r="AE27" s="300">
        <f t="shared" si="18"/>
        <v>4.5881985211123022E-2</v>
      </c>
      <c r="AF27" s="328">
        <f t="shared" si="18"/>
        <v>4.4445523933875387E-2</v>
      </c>
      <c r="AG27" s="328">
        <f t="shared" si="18"/>
        <v>4.3802462054485042E-2</v>
      </c>
      <c r="AH27" s="328">
        <f t="shared" si="18"/>
        <v>4.2740525477231915E-2</v>
      </c>
      <c r="AI27" s="300">
        <f t="shared" si="18"/>
        <v>4.0643383767508041E-2</v>
      </c>
      <c r="AJ27" s="328">
        <f t="shared" si="18"/>
        <v>3.8559027473584147E-2</v>
      </c>
      <c r="AK27" s="328">
        <f t="shared" si="18"/>
        <v>3.679960371847419E-2</v>
      </c>
      <c r="AL27" s="328">
        <f t="shared" si="18"/>
        <v>3.603533103028711E-2</v>
      </c>
      <c r="AM27" s="300">
        <f t="shared" si="18"/>
        <v>3.5475336314216184E-2</v>
      </c>
      <c r="AN27" s="328">
        <f t="shared" si="18"/>
        <v>3.5307045839434927E-2</v>
      </c>
      <c r="AO27" s="328">
        <f t="shared" si="18"/>
        <v>3.52255247794485E-2</v>
      </c>
      <c r="AP27" s="328">
        <f t="shared" si="18"/>
        <v>3.5497560351462849E-2</v>
      </c>
      <c r="AQ27" s="300">
        <f t="shared" si="18"/>
        <v>3.5348679723890351E-2</v>
      </c>
      <c r="AR27" s="328">
        <f t="shared" si="18"/>
        <v>3.5457700955274847E-2</v>
      </c>
      <c r="AS27" s="328">
        <f t="shared" si="18"/>
        <v>3.5697045849079921E-2</v>
      </c>
      <c r="AT27" s="328">
        <f t="shared" si="18"/>
        <v>3.6040015771706256E-2</v>
      </c>
      <c r="AU27" s="300">
        <f t="shared" si="18"/>
        <v>3.6233175243488305E-2</v>
      </c>
      <c r="AV27" s="328">
        <f t="shared" si="18"/>
        <v>3.6449847704986799E-2</v>
      </c>
      <c r="AW27" s="328">
        <f t="shared" si="18"/>
        <v>3.6549731069743366E-2</v>
      </c>
      <c r="AX27" s="328">
        <f t="shared" si="18"/>
        <v>3.6363534512524949E-2</v>
      </c>
      <c r="AY27" s="300">
        <f t="shared" si="18"/>
        <v>3.6507100128500634E-2</v>
      </c>
      <c r="AZ27" s="328">
        <f t="shared" si="18"/>
        <v>3.6516101040701937E-2</v>
      </c>
      <c r="BA27" s="328">
        <f t="shared" si="18"/>
        <v>3.6541248506895843E-2</v>
      </c>
      <c r="BB27" s="328">
        <f t="shared" si="18"/>
        <v>3.6274569664207015E-2</v>
      </c>
      <c r="BC27" s="300">
        <f t="shared" si="18"/>
        <v>3.5720557815932523E-2</v>
      </c>
      <c r="BD27" s="328">
        <f t="shared" si="18"/>
        <v>3.408118392203955E-2</v>
      </c>
      <c r="BE27" s="328">
        <f t="shared" si="18"/>
        <v>3.2090113393689654E-2</v>
      </c>
      <c r="BF27" s="328">
        <f t="shared" si="18"/>
        <v>3.0365529935184245E-2</v>
      </c>
    </row>
    <row r="28" spans="1:58" s="175" customFormat="1" ht="11.25">
      <c r="A28" s="50"/>
      <c r="B28" s="50"/>
      <c r="C28" s="328"/>
      <c r="D28" s="328"/>
      <c r="E28" s="328"/>
      <c r="F28" s="328"/>
      <c r="G28" s="300"/>
      <c r="H28" s="328"/>
      <c r="I28" s="328"/>
      <c r="J28" s="328"/>
      <c r="K28" s="300"/>
      <c r="L28" s="328"/>
      <c r="M28" s="328"/>
      <c r="N28" s="328"/>
      <c r="O28" s="300"/>
      <c r="P28" s="328"/>
      <c r="Q28" s="328"/>
      <c r="R28" s="328"/>
      <c r="S28" s="300"/>
      <c r="T28" s="328"/>
      <c r="U28" s="328"/>
      <c r="V28" s="328"/>
      <c r="W28" s="300"/>
      <c r="X28" s="328"/>
      <c r="Y28" s="328"/>
      <c r="Z28" s="328"/>
      <c r="AA28" s="300"/>
      <c r="AB28" s="328"/>
      <c r="AC28" s="328"/>
      <c r="AD28" s="328"/>
      <c r="AE28" s="300"/>
      <c r="AF28" s="328"/>
      <c r="AG28" s="328"/>
      <c r="AH28" s="328"/>
      <c r="AI28" s="300"/>
      <c r="AJ28" s="328"/>
      <c r="AK28" s="328"/>
      <c r="AL28" s="328"/>
      <c r="AM28" s="300"/>
      <c r="AN28" s="328"/>
      <c r="AO28" s="328"/>
      <c r="AP28" s="328"/>
      <c r="AQ28" s="300"/>
      <c r="AR28" s="328"/>
      <c r="AS28" s="328"/>
      <c r="AT28" s="328"/>
      <c r="AU28" s="300"/>
      <c r="AV28" s="328"/>
      <c r="AW28" s="328"/>
      <c r="AX28" s="328"/>
      <c r="AY28" s="300"/>
      <c r="AZ28" s="328"/>
      <c r="BA28" s="328"/>
      <c r="BB28" s="328"/>
      <c r="BC28" s="300"/>
      <c r="BD28" s="328"/>
      <c r="BE28" s="328"/>
      <c r="BF28" s="328"/>
    </row>
    <row r="29" spans="1:58" s="175" customFormat="1" ht="11.25">
      <c r="A29" s="35" t="s">
        <v>808</v>
      </c>
      <c r="B29" s="35" t="s">
        <v>809</v>
      </c>
      <c r="C29" s="328"/>
      <c r="D29" s="328">
        <f t="shared" ref="D29:BF29" si="19">D21*4/AVERAGE(C12:D12)</f>
        <v>2.9977346814741148E-2</v>
      </c>
      <c r="E29" s="328">
        <f t="shared" si="19"/>
        <v>3.2195777236558622E-2</v>
      </c>
      <c r="F29" s="328">
        <f t="shared" si="19"/>
        <v>3.5444235936228898E-2</v>
      </c>
      <c r="G29" s="300">
        <f t="shared" si="19"/>
        <v>3.8570074956081224E-2</v>
      </c>
      <c r="H29" s="328">
        <f t="shared" si="19"/>
        <v>4.1401432742816137E-2</v>
      </c>
      <c r="I29" s="328">
        <f t="shared" si="19"/>
        <v>4.2799083291868385E-2</v>
      </c>
      <c r="J29" s="328">
        <f t="shared" si="19"/>
        <v>4.7473737233630936E-2</v>
      </c>
      <c r="K29" s="300">
        <f t="shared" si="19"/>
        <v>4.0800005195561879E-2</v>
      </c>
      <c r="L29" s="328">
        <f t="shared" si="19"/>
        <v>3.0098156823892542E-2</v>
      </c>
      <c r="M29" s="328">
        <f t="shared" si="19"/>
        <v>2.6147531223722549E-2</v>
      </c>
      <c r="N29" s="328">
        <f t="shared" si="19"/>
        <v>2.7354971158928473E-2</v>
      </c>
      <c r="O29" s="300">
        <f t="shared" si="19"/>
        <v>2.6099040972740122E-2</v>
      </c>
      <c r="P29" s="328">
        <f t="shared" si="19"/>
        <v>2.4755405994890015E-2</v>
      </c>
      <c r="Q29" s="328">
        <f t="shared" si="19"/>
        <v>2.6449173022000439E-2</v>
      </c>
      <c r="R29" s="328">
        <f t="shared" si="19"/>
        <v>2.5801808004193384E-2</v>
      </c>
      <c r="S29" s="300">
        <f t="shared" si="19"/>
        <v>2.4937163259221511E-2</v>
      </c>
      <c r="T29" s="328">
        <f t="shared" si="19"/>
        <v>2.6224727548669703E-2</v>
      </c>
      <c r="U29" s="328">
        <f t="shared" si="19"/>
        <v>2.802560996712234E-2</v>
      </c>
      <c r="V29" s="328">
        <f t="shared" si="19"/>
        <v>2.8717468761236584E-2</v>
      </c>
      <c r="W29" s="300">
        <f t="shared" si="19"/>
        <v>2.9839062941449394E-2</v>
      </c>
      <c r="X29" s="328">
        <f t="shared" si="19"/>
        <v>2.9702305184123631E-2</v>
      </c>
      <c r="Y29" s="328">
        <f t="shared" si="19"/>
        <v>3.0328331111942834E-2</v>
      </c>
      <c r="Z29" s="328">
        <f t="shared" si="19"/>
        <v>3.0753671785492983E-2</v>
      </c>
      <c r="AA29" s="300">
        <f t="shared" si="19"/>
        <v>2.8424610411075031E-2</v>
      </c>
      <c r="AB29" s="328">
        <f t="shared" si="19"/>
        <v>2.4633575563493038E-2</v>
      </c>
      <c r="AC29" s="328">
        <f t="shared" si="19"/>
        <v>2.0973838076063532E-2</v>
      </c>
      <c r="AD29" s="328">
        <f t="shared" si="19"/>
        <v>1.9069441564355579E-2</v>
      </c>
      <c r="AE29" s="300">
        <f t="shared" si="19"/>
        <v>1.7759824675264591E-2</v>
      </c>
      <c r="AF29" s="328">
        <f t="shared" si="19"/>
        <v>1.7351753064349801E-2</v>
      </c>
      <c r="AG29" s="328">
        <f t="shared" si="19"/>
        <v>1.7929307337555531E-2</v>
      </c>
      <c r="AH29" s="328">
        <f t="shared" si="19"/>
        <v>1.6894985610668444E-2</v>
      </c>
      <c r="AI29" s="300">
        <f t="shared" si="19"/>
        <v>1.5231690538030728E-2</v>
      </c>
      <c r="AJ29" s="328">
        <f t="shared" si="19"/>
        <v>1.3018747983016932E-2</v>
      </c>
      <c r="AK29" s="328">
        <f t="shared" si="19"/>
        <v>1.2228273305569538E-2</v>
      </c>
      <c r="AL29" s="328">
        <f t="shared" si="19"/>
        <v>1.1715407386082056E-2</v>
      </c>
      <c r="AM29" s="300">
        <f t="shared" si="19"/>
        <v>1.1308794929049917E-2</v>
      </c>
      <c r="AN29" s="328">
        <f t="shared" si="19"/>
        <v>1.1017520833630544E-2</v>
      </c>
      <c r="AO29" s="328">
        <f t="shared" si="19"/>
        <v>8.9807442453423078E-3</v>
      </c>
      <c r="AP29" s="328">
        <f t="shared" si="19"/>
        <v>8.0239281534289983E-3</v>
      </c>
      <c r="AQ29" s="300">
        <f t="shared" si="19"/>
        <v>7.9633117494008511E-3</v>
      </c>
      <c r="AR29" s="328">
        <f t="shared" si="19"/>
        <v>7.8812301246048364E-3</v>
      </c>
      <c r="AS29" s="328">
        <f t="shared" si="19"/>
        <v>7.9122068668246674E-3</v>
      </c>
      <c r="AT29" s="328">
        <f t="shared" si="19"/>
        <v>7.9451022154151726E-3</v>
      </c>
      <c r="AU29" s="300">
        <f t="shared" si="19"/>
        <v>7.7166369131299864E-3</v>
      </c>
      <c r="AV29" s="328">
        <f t="shared" si="19"/>
        <v>8.0281333412963677E-3</v>
      </c>
      <c r="AW29" s="328">
        <f t="shared" si="19"/>
        <v>7.9248917115305479E-3</v>
      </c>
      <c r="AX29" s="328">
        <f t="shared" si="19"/>
        <v>7.7044586653504483E-3</v>
      </c>
      <c r="AY29" s="300">
        <f t="shared" si="19"/>
        <v>7.6497642516816528E-3</v>
      </c>
      <c r="AZ29" s="328">
        <f t="shared" si="19"/>
        <v>7.9573402384380872E-3</v>
      </c>
      <c r="BA29" s="328">
        <f t="shared" si="19"/>
        <v>7.0926287850655327E-3</v>
      </c>
      <c r="BB29" s="328">
        <f t="shared" si="19"/>
        <v>7.0262213107724165E-3</v>
      </c>
      <c r="BC29" s="300">
        <f t="shared" si="19"/>
        <v>6.487946115463307E-3</v>
      </c>
      <c r="BD29" s="328">
        <f t="shared" si="19"/>
        <v>5.3263390456672454E-3</v>
      </c>
      <c r="BE29" s="328">
        <f t="shared" si="19"/>
        <v>3.5178499699361045E-3</v>
      </c>
      <c r="BF29" s="328">
        <f t="shared" si="19"/>
        <v>3.0633650807677191E-3</v>
      </c>
    </row>
    <row r="30" spans="1:58" s="175" customFormat="1" ht="11.25">
      <c r="A30" s="26" t="s">
        <v>828</v>
      </c>
      <c r="B30" s="26" t="s">
        <v>810</v>
      </c>
      <c r="C30" s="328"/>
      <c r="D30" s="328"/>
      <c r="E30" s="328"/>
      <c r="F30" s="328"/>
      <c r="G30" s="300">
        <f t="shared" ref="G30:BF30" si="20">SUM(D21:G21)/AVERAGE(C12:G12)</f>
        <v>3.3814338734924253E-2</v>
      </c>
      <c r="H30" s="328">
        <f t="shared" si="20"/>
        <v>3.6948230556626625E-2</v>
      </c>
      <c r="I30" s="328">
        <f t="shared" si="20"/>
        <v>3.9600516293285849E-2</v>
      </c>
      <c r="J30" s="328">
        <f t="shared" si="20"/>
        <v>4.3170254673942608E-2</v>
      </c>
      <c r="K30" s="300">
        <f t="shared" si="20"/>
        <v>4.3366783505761307E-2</v>
      </c>
      <c r="L30" s="328">
        <f t="shared" si="20"/>
        <v>4.0300942970736414E-2</v>
      </c>
      <c r="M30" s="328">
        <f t="shared" si="20"/>
        <v>3.6106778036865447E-2</v>
      </c>
      <c r="N30" s="328">
        <f t="shared" si="20"/>
        <v>3.1290871739927124E-2</v>
      </c>
      <c r="O30" s="300">
        <f t="shared" si="20"/>
        <v>2.7467912765561674E-2</v>
      </c>
      <c r="P30" s="328">
        <f t="shared" si="20"/>
        <v>2.5997873559016348E-2</v>
      </c>
      <c r="Q30" s="328">
        <f t="shared" si="20"/>
        <v>2.6136605048063134E-2</v>
      </c>
      <c r="R30" s="328">
        <f t="shared" si="20"/>
        <v>2.5750860473647424E-2</v>
      </c>
      <c r="S30" s="300">
        <f t="shared" si="20"/>
        <v>2.5250683299835062E-2</v>
      </c>
      <c r="T30" s="328">
        <f t="shared" si="20"/>
        <v>2.5767964590588964E-2</v>
      </c>
      <c r="U30" s="328">
        <f t="shared" si="20"/>
        <v>2.6325511814176285E-2</v>
      </c>
      <c r="V30" s="328">
        <f t="shared" si="20"/>
        <v>2.7216890227220226E-2</v>
      </c>
      <c r="W30" s="300">
        <f t="shared" si="20"/>
        <v>2.8242510877183245E-2</v>
      </c>
      <c r="X30" s="328">
        <f t="shared" si="20"/>
        <v>2.909323717773844E-2</v>
      </c>
      <c r="Y30" s="328">
        <f t="shared" si="20"/>
        <v>2.9566286971976195E-2</v>
      </c>
      <c r="Z30" s="328">
        <f t="shared" si="20"/>
        <v>3.0028876641051323E-2</v>
      </c>
      <c r="AA30" s="300">
        <f t="shared" si="20"/>
        <v>2.9765713641334561E-2</v>
      </c>
      <c r="AB30" s="328">
        <f t="shared" si="20"/>
        <v>2.8342784650673504E-2</v>
      </c>
      <c r="AC30" s="328">
        <f t="shared" si="20"/>
        <v>2.5954939095609003E-2</v>
      </c>
      <c r="AD30" s="328">
        <f t="shared" si="20"/>
        <v>2.3087026679973661E-2</v>
      </c>
      <c r="AE30" s="300">
        <f t="shared" si="20"/>
        <v>2.0507890483618993E-2</v>
      </c>
      <c r="AF30" s="328">
        <f t="shared" si="20"/>
        <v>1.8659627414528628E-2</v>
      </c>
      <c r="AG30" s="328">
        <f t="shared" si="20"/>
        <v>1.8089586424630003E-2</v>
      </c>
      <c r="AH30" s="328">
        <f t="shared" si="20"/>
        <v>1.7561249628446629E-2</v>
      </c>
      <c r="AI30" s="300">
        <f t="shared" si="20"/>
        <v>1.6860782901862749E-2</v>
      </c>
      <c r="AJ30" s="328">
        <f t="shared" si="20"/>
        <v>1.5589211251842582E-2</v>
      </c>
      <c r="AK30" s="328">
        <f t="shared" si="20"/>
        <v>1.4207298654186604E-2</v>
      </c>
      <c r="AL30" s="328">
        <f t="shared" si="20"/>
        <v>1.3038856128037863E-2</v>
      </c>
      <c r="AM30" s="300">
        <f t="shared" si="20"/>
        <v>1.2098918245133847E-2</v>
      </c>
      <c r="AN30" s="328">
        <f t="shared" si="20"/>
        <v>1.1553812979499567E-2</v>
      </c>
      <c r="AO30" s="328">
        <f t="shared" si="20"/>
        <v>1.069755693963961E-2</v>
      </c>
      <c r="AP30" s="328">
        <f t="shared" si="20"/>
        <v>9.7929569901813868E-3</v>
      </c>
      <c r="AQ30" s="300">
        <f t="shared" si="20"/>
        <v>8.984587015346001E-3</v>
      </c>
      <c r="AR30" s="328">
        <f t="shared" si="20"/>
        <v>8.1999245364381204E-3</v>
      </c>
      <c r="AS30" s="328">
        <f t="shared" si="20"/>
        <v>7.9694913811707985E-3</v>
      </c>
      <c r="AT30" s="328">
        <f t="shared" si="20"/>
        <v>7.9145730050068693E-3</v>
      </c>
      <c r="AU30" s="300">
        <f t="shared" si="20"/>
        <v>7.8566531228286517E-3</v>
      </c>
      <c r="AV30" s="328">
        <f t="shared" si="20"/>
        <v>7.8761605799334746E-3</v>
      </c>
      <c r="AW30" s="328">
        <f t="shared" si="20"/>
        <v>7.906398703442525E-3</v>
      </c>
      <c r="AX30" s="328">
        <f t="shared" si="20"/>
        <v>7.8243552457489228E-3</v>
      </c>
      <c r="AY30" s="300">
        <f t="shared" si="20"/>
        <v>7.8202531859875805E-3</v>
      </c>
      <c r="AZ30" s="328">
        <f t="shared" si="20"/>
        <v>7.8003095111506739E-3</v>
      </c>
      <c r="BA30" s="328">
        <f t="shared" si="20"/>
        <v>7.6090301284023843E-3</v>
      </c>
      <c r="BB30" s="328">
        <f t="shared" si="20"/>
        <v>7.4226667559815235E-3</v>
      </c>
      <c r="BC30" s="300">
        <f t="shared" si="20"/>
        <v>7.1075902201652042E-3</v>
      </c>
      <c r="BD30" s="328">
        <f t="shared" si="20"/>
        <v>6.4194266881552981E-3</v>
      </c>
      <c r="BE30" s="328">
        <f t="shared" si="20"/>
        <v>5.5145489614891498E-3</v>
      </c>
      <c r="BF30" s="328">
        <f t="shared" si="20"/>
        <v>4.558149144501796E-3</v>
      </c>
    </row>
    <row r="31" spans="1:58">
      <c r="A31" s="13"/>
      <c r="B31" s="13"/>
      <c r="C31" s="64"/>
      <c r="D31" s="64"/>
      <c r="E31" s="64"/>
      <c r="F31" s="64"/>
      <c r="G31" s="64"/>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J31" s="64"/>
      <c r="AX31" s="63"/>
      <c r="BB31" s="63"/>
      <c r="BF31" s="63"/>
    </row>
    <row r="32" spans="1:58">
      <c r="A32" s="13"/>
      <c r="B32" s="13"/>
    </row>
    <row r="33" spans="1:58">
      <c r="A33" s="13"/>
      <c r="B33" s="13"/>
    </row>
    <row r="34" spans="1:58">
      <c r="A34" s="13"/>
      <c r="B34" s="13"/>
    </row>
    <row r="35" spans="1:58" s="63" customFormat="1">
      <c r="A35" s="13"/>
      <c r="B35" s="13"/>
      <c r="AX35" s="13"/>
      <c r="BB35" s="13"/>
      <c r="BF35" s="13"/>
    </row>
    <row r="36" spans="1:58" s="63" customFormat="1">
      <c r="A36" s="13"/>
      <c r="B36" s="13"/>
      <c r="AX36" s="13"/>
      <c r="BB36" s="13"/>
      <c r="BF36" s="13"/>
    </row>
    <row r="37" spans="1:58" s="63" customFormat="1">
      <c r="A37" s="13"/>
      <c r="B37" s="13"/>
      <c r="AX37" s="13"/>
      <c r="BB37" s="13"/>
      <c r="BF37" s="13"/>
    </row>
    <row r="38" spans="1:58" s="63" customFormat="1">
      <c r="A38" s="13"/>
      <c r="B38" s="13"/>
      <c r="AX38" s="13"/>
      <c r="BB38" s="13"/>
      <c r="BF38" s="13"/>
    </row>
    <row r="39" spans="1:58" s="63" customFormat="1">
      <c r="A39" s="13"/>
      <c r="B39" s="13"/>
      <c r="AX39" s="13"/>
      <c r="BB39" s="13"/>
      <c r="BF39" s="13"/>
    </row>
    <row r="40" spans="1:58" s="63" customFormat="1">
      <c r="A40" s="13"/>
      <c r="B40" s="13"/>
      <c r="AX40" s="13"/>
      <c r="BB40" s="13"/>
      <c r="BF40" s="13"/>
    </row>
    <row r="41" spans="1:58" s="63" customFormat="1">
      <c r="A41" s="13"/>
      <c r="B41" s="13"/>
      <c r="AX41" s="13"/>
      <c r="BB41" s="13"/>
      <c r="BF41" s="13"/>
    </row>
    <row r="42" spans="1:58" s="63" customFormat="1">
      <c r="A42" s="13"/>
      <c r="B42" s="13"/>
      <c r="AX42" s="13"/>
      <c r="BB42" s="13"/>
      <c r="BF42" s="13"/>
    </row>
    <row r="43" spans="1:58" s="63" customFormat="1">
      <c r="A43" s="13"/>
      <c r="B43" s="13"/>
      <c r="AX43" s="13"/>
      <c r="BB43" s="13"/>
      <c r="BF43" s="13"/>
    </row>
    <row r="44" spans="1:58" s="63" customFormat="1">
      <c r="A44" s="13"/>
      <c r="B44" s="13"/>
      <c r="AX44" s="13"/>
      <c r="BB44" s="13"/>
      <c r="BF44" s="13"/>
    </row>
    <row r="45" spans="1:58" s="63" customFormat="1">
      <c r="A45" s="13"/>
      <c r="B45" s="13"/>
      <c r="AX45" s="13"/>
      <c r="BB45" s="13"/>
      <c r="BF45" s="13"/>
    </row>
    <row r="46" spans="1:58" s="63" customFormat="1">
      <c r="A46" s="13"/>
      <c r="B46" s="13"/>
      <c r="AX46" s="13"/>
      <c r="BB46" s="13"/>
      <c r="BF46" s="13"/>
    </row>
    <row r="47" spans="1:58" s="63" customFormat="1">
      <c r="A47" s="13"/>
      <c r="B47" s="13"/>
      <c r="AX47" s="13"/>
      <c r="BB47" s="13"/>
      <c r="BF47" s="13"/>
    </row>
    <row r="48" spans="1:58" s="63" customFormat="1">
      <c r="A48" s="13"/>
      <c r="B48" s="13"/>
      <c r="AX48" s="13"/>
      <c r="BB48" s="13"/>
      <c r="BF48" s="13"/>
    </row>
    <row r="49" spans="1:58" s="63" customFormat="1">
      <c r="A49" s="13"/>
      <c r="B49" s="13"/>
      <c r="AX49" s="13"/>
      <c r="BB49" s="13"/>
      <c r="BF49" s="13"/>
    </row>
    <row r="50" spans="1:58" s="63" customFormat="1">
      <c r="A50" s="13"/>
      <c r="B50" s="13"/>
      <c r="AX50" s="13"/>
      <c r="BB50" s="13"/>
      <c r="BF50" s="13"/>
    </row>
    <row r="51" spans="1:58" s="63" customFormat="1">
      <c r="A51" s="13"/>
      <c r="B51" s="13"/>
      <c r="AX51" s="13"/>
      <c r="BB51" s="13"/>
      <c r="BF51" s="13"/>
    </row>
    <row r="52" spans="1:58" s="63" customFormat="1">
      <c r="A52" s="13"/>
      <c r="B52" s="13"/>
      <c r="AX52" s="13"/>
      <c r="BB52" s="13"/>
      <c r="BF52" s="13"/>
    </row>
    <row r="53" spans="1:58" s="63" customFormat="1">
      <c r="A53" s="13"/>
      <c r="B53" s="13"/>
      <c r="AX53" s="13"/>
      <c r="BB53" s="13"/>
      <c r="BF53" s="13"/>
    </row>
    <row r="54" spans="1:58" s="63" customFormat="1">
      <c r="A54" s="13"/>
      <c r="B54" s="13"/>
      <c r="AX54" s="13"/>
      <c r="BB54" s="13"/>
      <c r="BF54" s="13"/>
    </row>
    <row r="55" spans="1:58" s="63" customFormat="1">
      <c r="A55" s="13"/>
      <c r="B55" s="13"/>
      <c r="AX55" s="13"/>
      <c r="BB55" s="13"/>
      <c r="BF55" s="13"/>
    </row>
    <row r="56" spans="1:58" s="63" customFormat="1">
      <c r="A56" s="13"/>
      <c r="B56" s="13"/>
      <c r="AX56" s="13"/>
      <c r="BB56" s="13"/>
      <c r="BF56" s="13"/>
    </row>
    <row r="57" spans="1:58" s="63" customFormat="1">
      <c r="A57" s="13"/>
      <c r="B57" s="13"/>
      <c r="AX57" s="13"/>
      <c r="BB57" s="13"/>
      <c r="BF57" s="13"/>
    </row>
    <row r="58" spans="1:58" s="63" customFormat="1">
      <c r="A58" s="13"/>
      <c r="B58" s="13"/>
      <c r="AX58" s="13"/>
      <c r="BB58" s="13"/>
      <c r="BF58" s="13"/>
    </row>
    <row r="59" spans="1:58" s="63" customFormat="1">
      <c r="A59" s="13"/>
      <c r="B59" s="13"/>
      <c r="AX59" s="13"/>
      <c r="BB59" s="13"/>
      <c r="BF59" s="13"/>
    </row>
  </sheetData>
  <mergeCells count="16">
    <mergeCell ref="BC2:BF2"/>
    <mergeCell ref="O2:R2"/>
    <mergeCell ref="A2:A3"/>
    <mergeCell ref="B2:B3"/>
    <mergeCell ref="C2:F2"/>
    <mergeCell ref="G2:J2"/>
    <mergeCell ref="K2:N2"/>
    <mergeCell ref="AY2:BB2"/>
    <mergeCell ref="AQ2:AT2"/>
    <mergeCell ref="AU2:AX2"/>
    <mergeCell ref="S2:V2"/>
    <mergeCell ref="W2:Z2"/>
    <mergeCell ref="AA2:AD2"/>
    <mergeCell ref="AE2:AH2"/>
    <mergeCell ref="AI2:AL2"/>
    <mergeCell ref="AM2:AP2"/>
  </mergeCells>
  <printOptions horizontalCentered="1"/>
  <pageMargins left="0.23622047244094491" right="0.23622047244094491" top="0.74803149606299213" bottom="0.74803149606299213" header="0.31496062992125984" footer="0.31496062992125984"/>
  <pageSetup paperSize="9" scale="27" fitToHeight="0" orientation="landscape" r:id="rId1"/>
  <headerFooter alignWithMargins="0">
    <oddHeader xml:space="preserve">&amp;C&amp;"Times New Roman,Kursywa"&amp;12
</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dimension ref="A1:BF40"/>
  <sheetViews>
    <sheetView showGridLines="0" view="pageBreakPreview" zoomScaleNormal="100" zoomScaleSheetLayoutView="100" zoomScalePageLayoutView="80" workbookViewId="0">
      <pane xSplit="2" ySplit="4" topLeftCell="AS5" activePane="bottomRight" state="frozen"/>
      <selection pane="topRight" activeCell="C1" sqref="C1"/>
      <selection pane="bottomLeft" activeCell="A5" sqref="A5"/>
      <selection pane="bottomRight" activeCell="BC2" sqref="BC2:BF2"/>
    </sheetView>
  </sheetViews>
  <sheetFormatPr defaultColWidth="8.85546875" defaultRowHeight="13.5" outlineLevelCol="1"/>
  <cols>
    <col min="1" max="1" width="44" style="52" customWidth="1" outlineLevel="1"/>
    <col min="2" max="2" width="39.42578125" style="52" bestFit="1" customWidth="1"/>
    <col min="3" max="58" width="6" style="13" customWidth="1"/>
    <col min="59" max="16384" width="8.85546875" style="13"/>
  </cols>
  <sheetData>
    <row r="1" spans="1:58">
      <c r="A1" s="53" t="s">
        <v>424</v>
      </c>
      <c r="B1" s="53" t="s">
        <v>425</v>
      </c>
    </row>
    <row r="2" spans="1:58">
      <c r="A2" s="639" t="s">
        <v>388</v>
      </c>
      <c r="B2" s="639" t="s">
        <v>4</v>
      </c>
      <c r="C2" s="636">
        <v>2007</v>
      </c>
      <c r="D2" s="641"/>
      <c r="E2" s="641"/>
      <c r="F2" s="641"/>
      <c r="G2" s="636">
        <v>2008</v>
      </c>
      <c r="H2" s="641"/>
      <c r="I2" s="641"/>
      <c r="J2" s="641"/>
      <c r="K2" s="636">
        <v>2009</v>
      </c>
      <c r="L2" s="641"/>
      <c r="M2" s="641"/>
      <c r="N2" s="641"/>
      <c r="O2" s="636">
        <v>2010</v>
      </c>
      <c r="P2" s="641"/>
      <c r="Q2" s="641"/>
      <c r="R2" s="641"/>
      <c r="S2" s="636">
        <v>2011</v>
      </c>
      <c r="T2" s="641"/>
      <c r="U2" s="641"/>
      <c r="V2" s="641"/>
      <c r="W2" s="636">
        <v>2012</v>
      </c>
      <c r="X2" s="641"/>
      <c r="Y2" s="641"/>
      <c r="Z2" s="642"/>
      <c r="AA2" s="636">
        <v>2013</v>
      </c>
      <c r="AB2" s="641"/>
      <c r="AC2" s="641"/>
      <c r="AD2" s="642"/>
      <c r="AE2" s="636">
        <v>2014</v>
      </c>
      <c r="AF2" s="641"/>
      <c r="AG2" s="641"/>
      <c r="AH2" s="642"/>
      <c r="AI2" s="636">
        <v>2015</v>
      </c>
      <c r="AJ2" s="641"/>
      <c r="AK2" s="641"/>
      <c r="AL2" s="642"/>
      <c r="AM2" s="636">
        <v>2016</v>
      </c>
      <c r="AN2" s="641"/>
      <c r="AO2" s="641"/>
      <c r="AP2" s="642"/>
      <c r="AQ2" s="636">
        <v>2017</v>
      </c>
      <c r="AR2" s="637"/>
      <c r="AS2" s="637"/>
      <c r="AT2" s="649"/>
      <c r="AU2" s="636">
        <v>2018</v>
      </c>
      <c r="AV2" s="637"/>
      <c r="AW2" s="637"/>
      <c r="AX2" s="649"/>
      <c r="AY2" s="636">
        <v>2019</v>
      </c>
      <c r="AZ2" s="637"/>
      <c r="BA2" s="637"/>
      <c r="BB2" s="638"/>
      <c r="BC2" s="636">
        <v>2020</v>
      </c>
      <c r="BD2" s="637"/>
      <c r="BE2" s="637"/>
      <c r="BF2" s="638"/>
    </row>
    <row r="3" spans="1:58" s="14" customFormat="1">
      <c r="A3" s="640"/>
      <c r="B3" s="640"/>
      <c r="C3" s="20" t="s">
        <v>149</v>
      </c>
      <c r="D3" s="21" t="s">
        <v>150</v>
      </c>
      <c r="E3" s="21" t="s">
        <v>151</v>
      </c>
      <c r="F3" s="21" t="s">
        <v>152</v>
      </c>
      <c r="G3" s="20" t="s">
        <v>149</v>
      </c>
      <c r="H3" s="21" t="s">
        <v>150</v>
      </c>
      <c r="I3" s="21" t="s">
        <v>151</v>
      </c>
      <c r="J3" s="21" t="s">
        <v>152</v>
      </c>
      <c r="K3" s="20" t="s">
        <v>149</v>
      </c>
      <c r="L3" s="21" t="s">
        <v>150</v>
      </c>
      <c r="M3" s="21" t="s">
        <v>151</v>
      </c>
      <c r="N3" s="21" t="s">
        <v>152</v>
      </c>
      <c r="O3" s="20" t="s">
        <v>149</v>
      </c>
      <c r="P3" s="21" t="s">
        <v>150</v>
      </c>
      <c r="Q3" s="21" t="s">
        <v>151</v>
      </c>
      <c r="R3" s="21" t="s">
        <v>152</v>
      </c>
      <c r="S3" s="20" t="s">
        <v>149</v>
      </c>
      <c r="T3" s="21" t="s">
        <v>150</v>
      </c>
      <c r="U3" s="21" t="s">
        <v>151</v>
      </c>
      <c r="V3" s="21" t="s">
        <v>152</v>
      </c>
      <c r="W3" s="20" t="s">
        <v>149</v>
      </c>
      <c r="X3" s="21" t="s">
        <v>150</v>
      </c>
      <c r="Y3" s="21" t="s">
        <v>151</v>
      </c>
      <c r="Z3" s="43" t="s">
        <v>152</v>
      </c>
      <c r="AA3" s="20" t="s">
        <v>149</v>
      </c>
      <c r="AB3" s="21" t="s">
        <v>150</v>
      </c>
      <c r="AC3" s="21" t="s">
        <v>151</v>
      </c>
      <c r="AD3" s="43" t="s">
        <v>152</v>
      </c>
      <c r="AE3" s="20" t="s">
        <v>149</v>
      </c>
      <c r="AF3" s="21" t="s">
        <v>150</v>
      </c>
      <c r="AG3" s="21" t="s">
        <v>151</v>
      </c>
      <c r="AH3" s="43" t="s">
        <v>152</v>
      </c>
      <c r="AI3" s="20" t="s">
        <v>149</v>
      </c>
      <c r="AJ3" s="21" t="s">
        <v>150</v>
      </c>
      <c r="AK3" s="21" t="s">
        <v>151</v>
      </c>
      <c r="AL3" s="43" t="s">
        <v>152</v>
      </c>
      <c r="AM3" s="44" t="s">
        <v>149</v>
      </c>
      <c r="AN3" s="21" t="s">
        <v>150</v>
      </c>
      <c r="AO3" s="21" t="s">
        <v>151</v>
      </c>
      <c r="AP3" s="43" t="s">
        <v>152</v>
      </c>
      <c r="AQ3" s="20" t="s">
        <v>149</v>
      </c>
      <c r="AR3" s="21" t="s">
        <v>150</v>
      </c>
      <c r="AS3" s="21" t="s">
        <v>151</v>
      </c>
      <c r="AT3" s="43" t="s">
        <v>152</v>
      </c>
      <c r="AU3" s="20" t="s">
        <v>149</v>
      </c>
      <c r="AV3" s="21" t="s">
        <v>793</v>
      </c>
      <c r="AW3" s="21" t="s">
        <v>794</v>
      </c>
      <c r="AX3" s="43" t="s">
        <v>795</v>
      </c>
      <c r="AY3" s="20" t="s">
        <v>149</v>
      </c>
      <c r="AZ3" s="21" t="s">
        <v>793</v>
      </c>
      <c r="BA3" s="21" t="s">
        <v>794</v>
      </c>
      <c r="BB3" s="21" t="s">
        <v>795</v>
      </c>
      <c r="BC3" s="20" t="s">
        <v>149</v>
      </c>
      <c r="BD3" s="21" t="s">
        <v>793</v>
      </c>
      <c r="BE3" s="21" t="s">
        <v>794</v>
      </c>
      <c r="BF3" s="21" t="s">
        <v>795</v>
      </c>
    </row>
    <row r="4" spans="1:58" s="172" customFormat="1" ht="12.75" customHeight="1">
      <c r="A4" s="22" t="s">
        <v>154</v>
      </c>
      <c r="B4" s="22" t="s">
        <v>11</v>
      </c>
      <c r="C4" s="108"/>
      <c r="D4" s="109"/>
      <c r="E4" s="55"/>
      <c r="F4" s="109"/>
      <c r="G4" s="108"/>
      <c r="H4" s="109"/>
      <c r="I4" s="55"/>
      <c r="J4" s="110"/>
      <c r="K4" s="108"/>
      <c r="L4" s="109"/>
      <c r="M4" s="55"/>
      <c r="N4" s="110"/>
      <c r="O4" s="108"/>
      <c r="P4" s="109"/>
      <c r="Q4" s="55"/>
      <c r="R4" s="110"/>
      <c r="S4" s="108"/>
      <c r="T4" s="109"/>
      <c r="U4" s="55"/>
      <c r="V4" s="110"/>
      <c r="W4" s="108"/>
      <c r="X4" s="55"/>
      <c r="Y4" s="55"/>
      <c r="Z4" s="177"/>
      <c r="AA4" s="108"/>
      <c r="AB4" s="55"/>
      <c r="AC4" s="55"/>
      <c r="AD4" s="177"/>
      <c r="AE4" s="108"/>
      <c r="AF4" s="55"/>
      <c r="AG4" s="55"/>
      <c r="AH4" s="177"/>
      <c r="AI4" s="108"/>
      <c r="AJ4" s="55"/>
      <c r="AK4" s="55"/>
      <c r="AL4" s="177"/>
      <c r="AM4" s="55"/>
      <c r="AN4" s="55"/>
      <c r="AO4" s="55"/>
      <c r="AP4" s="177"/>
      <c r="AQ4" s="108"/>
      <c r="AR4" s="55"/>
      <c r="AS4" s="55"/>
      <c r="AT4" s="177"/>
      <c r="AU4" s="108"/>
      <c r="AV4" s="55"/>
      <c r="AW4" s="55"/>
      <c r="AX4" s="177"/>
      <c r="AY4" s="55"/>
      <c r="AZ4" s="55"/>
      <c r="BA4" s="55"/>
      <c r="BB4" s="177"/>
      <c r="BC4" s="55"/>
      <c r="BD4" s="55"/>
      <c r="BE4" s="55"/>
      <c r="BF4" s="55"/>
    </row>
    <row r="5" spans="1:58" s="428" customFormat="1" ht="11.25">
      <c r="A5" s="530" t="s">
        <v>389</v>
      </c>
      <c r="B5" s="530" t="s">
        <v>47</v>
      </c>
      <c r="C5" s="425"/>
      <c r="D5" s="337"/>
      <c r="E5" s="337"/>
      <c r="F5" s="337"/>
      <c r="G5" s="425"/>
      <c r="H5" s="337"/>
      <c r="I5" s="337"/>
      <c r="J5" s="338"/>
      <c r="K5" s="425"/>
      <c r="L5" s="337"/>
      <c r="M5" s="337"/>
      <c r="N5" s="338"/>
      <c r="O5" s="425"/>
      <c r="P5" s="337"/>
      <c r="Q5" s="337"/>
      <c r="R5" s="338"/>
      <c r="S5" s="425"/>
      <c r="T5" s="337"/>
      <c r="U5" s="337"/>
      <c r="V5" s="338"/>
      <c r="W5" s="425"/>
      <c r="X5" s="337"/>
      <c r="Y5" s="337"/>
      <c r="Z5" s="338"/>
      <c r="AA5" s="425"/>
      <c r="AB5" s="337"/>
      <c r="AC5" s="337"/>
      <c r="AD5" s="338"/>
      <c r="AE5" s="425"/>
      <c r="AF5" s="337"/>
      <c r="AG5" s="337"/>
      <c r="AH5" s="338"/>
      <c r="AI5" s="425"/>
      <c r="AJ5" s="337"/>
      <c r="AK5" s="337"/>
      <c r="AL5" s="338"/>
      <c r="AM5" s="415"/>
      <c r="AN5" s="415"/>
      <c r="AO5" s="415"/>
      <c r="AP5" s="338"/>
      <c r="AQ5" s="425"/>
      <c r="AR5" s="337"/>
      <c r="AS5" s="337"/>
      <c r="AT5" s="338"/>
      <c r="AU5" s="425"/>
      <c r="AV5" s="337"/>
      <c r="AW5" s="337"/>
      <c r="AX5" s="338"/>
      <c r="AY5" s="415"/>
      <c r="AZ5" s="337"/>
      <c r="BA5" s="337"/>
      <c r="BB5" s="338"/>
      <c r="BC5" s="415"/>
      <c r="BD5" s="337"/>
      <c r="BE5" s="337"/>
      <c r="BF5" s="337"/>
    </row>
    <row r="6" spans="1:58" s="428" customFormat="1" ht="11.25">
      <c r="A6" s="415" t="s">
        <v>220</v>
      </c>
      <c r="B6" s="415" t="s">
        <v>49</v>
      </c>
      <c r="C6" s="425">
        <v>24.6</v>
      </c>
      <c r="D6" s="337">
        <v>27.4</v>
      </c>
      <c r="E6" s="337">
        <v>23.1</v>
      </c>
      <c r="F6" s="337">
        <v>23.7</v>
      </c>
      <c r="G6" s="425">
        <v>22.4</v>
      </c>
      <c r="H6" s="337">
        <v>23.4</v>
      </c>
      <c r="I6" s="337">
        <v>36.9</v>
      </c>
      <c r="J6" s="338">
        <v>56.8</v>
      </c>
      <c r="K6" s="425">
        <v>59.5</v>
      </c>
      <c r="L6" s="337">
        <v>55.1</v>
      </c>
      <c r="M6" s="337">
        <v>50.8</v>
      </c>
      <c r="N6" s="338">
        <v>45.1</v>
      </c>
      <c r="O6" s="425">
        <v>60.6</v>
      </c>
      <c r="P6" s="337">
        <v>59.6</v>
      </c>
      <c r="Q6" s="337">
        <v>61</v>
      </c>
      <c r="R6" s="338">
        <v>62.8</v>
      </c>
      <c r="S6" s="425">
        <v>59.7</v>
      </c>
      <c r="T6" s="337">
        <v>64.400000000000006</v>
      </c>
      <c r="U6" s="337">
        <v>70.3</v>
      </c>
      <c r="V6" s="338">
        <v>69.400000000000006</v>
      </c>
      <c r="W6" s="425">
        <v>65.5</v>
      </c>
      <c r="X6" s="337">
        <v>66.2</v>
      </c>
      <c r="Y6" s="337">
        <v>72</v>
      </c>
      <c r="Z6" s="338">
        <v>67.400000000000006</v>
      </c>
      <c r="AA6" s="425">
        <v>64.3</v>
      </c>
      <c r="AB6" s="337">
        <f>75.1-10.3</f>
        <v>64.8</v>
      </c>
      <c r="AC6" s="337">
        <f>56.8+5.1</f>
        <v>61.9</v>
      </c>
      <c r="AD6" s="338">
        <v>69.2</v>
      </c>
      <c r="AE6" s="425">
        <v>64.5</v>
      </c>
      <c r="AF6" s="337">
        <v>68.2</v>
      </c>
      <c r="AG6" s="337">
        <v>75.900000000000006</v>
      </c>
      <c r="AH6" s="338">
        <v>73.5</v>
      </c>
      <c r="AI6" s="425">
        <v>69.900000000000006</v>
      </c>
      <c r="AJ6" s="337">
        <v>75</v>
      </c>
      <c r="AK6" s="337">
        <v>69.599999999999994</v>
      </c>
      <c r="AL6" s="338">
        <v>69.599999999999994</v>
      </c>
      <c r="AM6" s="425">
        <v>63.9</v>
      </c>
      <c r="AN6" s="337">
        <v>67.599999999999994</v>
      </c>
      <c r="AO6" s="337">
        <v>72.099999999999994</v>
      </c>
      <c r="AP6" s="338">
        <v>77.899999999999991</v>
      </c>
      <c r="AQ6" s="425">
        <v>80.599999999999994</v>
      </c>
      <c r="AR6" s="337">
        <v>80.900000000000006</v>
      </c>
      <c r="AS6" s="337">
        <v>91</v>
      </c>
      <c r="AT6" s="338">
        <v>90.600000000000009</v>
      </c>
      <c r="AU6" s="425">
        <v>84.4</v>
      </c>
      <c r="AV6" s="337">
        <v>91.6</v>
      </c>
      <c r="AW6" s="337">
        <v>90.7</v>
      </c>
      <c r="AX6" s="338">
        <v>96.5</v>
      </c>
      <c r="AY6" s="425">
        <v>90.9</v>
      </c>
      <c r="AZ6" s="337">
        <v>96</v>
      </c>
      <c r="BA6" s="337">
        <v>100.5</v>
      </c>
      <c r="BB6" s="338">
        <v>102.30000000000001</v>
      </c>
      <c r="BC6" s="425">
        <v>105.5</v>
      </c>
      <c r="BD6" s="337">
        <v>98.6</v>
      </c>
      <c r="BE6" s="337">
        <v>109.8</v>
      </c>
      <c r="BF6" s="337">
        <v>121.2</v>
      </c>
    </row>
    <row r="7" spans="1:58" s="428" customFormat="1" ht="11.25">
      <c r="A7" s="531" t="s">
        <v>213</v>
      </c>
      <c r="B7" s="531" t="s">
        <v>406</v>
      </c>
      <c r="C7" s="425">
        <v>62.5</v>
      </c>
      <c r="D7" s="337">
        <v>69.099999999999994</v>
      </c>
      <c r="E7" s="337">
        <v>66.599999999999994</v>
      </c>
      <c r="F7" s="337">
        <v>68.3</v>
      </c>
      <c r="G7" s="425">
        <v>68.7</v>
      </c>
      <c r="H7" s="337">
        <v>71.400000000000006</v>
      </c>
      <c r="I7" s="337">
        <v>71.5</v>
      </c>
      <c r="J7" s="338">
        <v>76.099999999999994</v>
      </c>
      <c r="K7" s="425">
        <v>71.2</v>
      </c>
      <c r="L7" s="337">
        <f>71.7-0.7</f>
        <v>71</v>
      </c>
      <c r="M7" s="337">
        <v>73.400000000000006</v>
      </c>
      <c r="N7" s="338">
        <v>72.2</v>
      </c>
      <c r="O7" s="425">
        <v>69.8</v>
      </c>
      <c r="P7" s="337">
        <f>66.3-0.1</f>
        <v>66.2</v>
      </c>
      <c r="Q7" s="337">
        <f>64.8-0.1</f>
        <v>64.7</v>
      </c>
      <c r="R7" s="338">
        <f>65.2-0.2</f>
        <v>65</v>
      </c>
      <c r="S7" s="425">
        <f>62.1-0.1</f>
        <v>62</v>
      </c>
      <c r="T7" s="337">
        <f>64.7-0.5</f>
        <v>64.2</v>
      </c>
      <c r="U7" s="337">
        <f>63.9-0.3</f>
        <v>63.6</v>
      </c>
      <c r="V7" s="338">
        <f>65-0.7</f>
        <v>64.3</v>
      </c>
      <c r="W7" s="425">
        <f>61.7-0.4</f>
        <v>61.300000000000004</v>
      </c>
      <c r="X7" s="337">
        <f>63.6-0.4</f>
        <v>63.2</v>
      </c>
      <c r="Y7" s="337">
        <f>61.4-0.4</f>
        <v>61</v>
      </c>
      <c r="Z7" s="338">
        <f>62.8-1.6</f>
        <v>61.199999999999996</v>
      </c>
      <c r="AA7" s="425">
        <f>63.6-0.1</f>
        <v>63.5</v>
      </c>
      <c r="AB7" s="337">
        <f>64.6-0.1</f>
        <v>64.5</v>
      </c>
      <c r="AC7" s="337">
        <f>65.3-1</f>
        <v>64.3</v>
      </c>
      <c r="AD7" s="338">
        <f>64.2-1.8</f>
        <v>62.400000000000006</v>
      </c>
      <c r="AE7" s="425">
        <v>62.5</v>
      </c>
      <c r="AF7" s="337">
        <f>62.8-0.2</f>
        <v>62.599999999999994</v>
      </c>
      <c r="AG7" s="337">
        <f>61.8-0.6</f>
        <v>61.199999999999996</v>
      </c>
      <c r="AH7" s="338">
        <v>60.1</v>
      </c>
      <c r="AI7" s="425">
        <v>59.1</v>
      </c>
      <c r="AJ7" s="337">
        <v>62.9</v>
      </c>
      <c r="AK7" s="337">
        <v>61.8</v>
      </c>
      <c r="AL7" s="338">
        <v>62.8</v>
      </c>
      <c r="AM7" s="425">
        <v>60.8</v>
      </c>
      <c r="AN7" s="337">
        <v>63.8</v>
      </c>
      <c r="AO7" s="337">
        <v>63.1</v>
      </c>
      <c r="AP7" s="338">
        <v>64.3</v>
      </c>
      <c r="AQ7" s="425">
        <v>66.2</v>
      </c>
      <c r="AR7" s="337">
        <v>70.2</v>
      </c>
      <c r="AS7" s="337">
        <v>69.5</v>
      </c>
      <c r="AT7" s="338">
        <v>72</v>
      </c>
      <c r="AU7" s="425">
        <v>70.2</v>
      </c>
      <c r="AV7" s="337">
        <v>72.599999999999994</v>
      </c>
      <c r="AW7" s="337">
        <v>72.099999999999994</v>
      </c>
      <c r="AX7" s="338">
        <v>71.900000000000006</v>
      </c>
      <c r="AY7" s="425">
        <v>70.5</v>
      </c>
      <c r="AZ7" s="337">
        <v>73.7</v>
      </c>
      <c r="BA7" s="337">
        <v>75.099999999999994</v>
      </c>
      <c r="BB7" s="338">
        <v>74.2</v>
      </c>
      <c r="BC7" s="425">
        <v>80.100000000000009</v>
      </c>
      <c r="BD7" s="337">
        <v>76.2</v>
      </c>
      <c r="BE7" s="337">
        <v>91.7</v>
      </c>
      <c r="BF7" s="337">
        <v>112.9</v>
      </c>
    </row>
    <row r="8" spans="1:58" s="418" customFormat="1" ht="11.25">
      <c r="A8" s="532" t="s">
        <v>844</v>
      </c>
      <c r="B8" s="532" t="s">
        <v>845</v>
      </c>
      <c r="C8" s="425">
        <v>25.2</v>
      </c>
      <c r="D8" s="337">
        <v>25.1</v>
      </c>
      <c r="E8" s="337">
        <v>24.8</v>
      </c>
      <c r="F8" s="337">
        <v>28.4</v>
      </c>
      <c r="G8" s="425">
        <v>30.5</v>
      </c>
      <c r="H8" s="337">
        <v>34.700000000000003</v>
      </c>
      <c r="I8" s="337">
        <v>36.9</v>
      </c>
      <c r="J8" s="338">
        <v>35.299999999999997</v>
      </c>
      <c r="K8" s="425">
        <f>33.9-0.1</f>
        <v>33.799999999999997</v>
      </c>
      <c r="L8" s="337">
        <v>41.4</v>
      </c>
      <c r="M8" s="337">
        <v>43.6</v>
      </c>
      <c r="N8" s="338">
        <f>43-0.2</f>
        <v>42.8</v>
      </c>
      <c r="O8" s="425">
        <f>39.2-0.1</f>
        <v>39.1</v>
      </c>
      <c r="P8" s="337">
        <v>43.9</v>
      </c>
      <c r="Q8" s="337">
        <f>48.9-0.3</f>
        <v>48.6</v>
      </c>
      <c r="R8" s="338">
        <f>53-0.2</f>
        <v>52.8</v>
      </c>
      <c r="S8" s="425">
        <f>50.8-0.2</f>
        <v>50.599999999999994</v>
      </c>
      <c r="T8" s="337">
        <f>51.1-0.2</f>
        <v>50.9</v>
      </c>
      <c r="U8" s="337">
        <f>52.2-0.2</f>
        <v>52</v>
      </c>
      <c r="V8" s="338">
        <f>54.3-0.2</f>
        <v>54.099999999999994</v>
      </c>
      <c r="W8" s="425">
        <f>49.6-0.3-0.3</f>
        <v>49.000000000000007</v>
      </c>
      <c r="X8" s="337">
        <f>51.1-0.4-0.4</f>
        <v>50.300000000000004</v>
      </c>
      <c r="Y8" s="337">
        <f>51.9-0.4-0.7</f>
        <v>50.8</v>
      </c>
      <c r="Z8" s="338">
        <f>54.4-0.6</f>
        <v>53.8</v>
      </c>
      <c r="AA8" s="337">
        <f>42.5-0.3-0.8</f>
        <v>41.400000000000006</v>
      </c>
      <c r="AB8" s="337">
        <f>46.3-0.2-1.1</f>
        <v>44.999999999999993</v>
      </c>
      <c r="AC8" s="337">
        <f>49.4-0.3-1.1</f>
        <v>48</v>
      </c>
      <c r="AD8" s="338">
        <f>52-0.5-1.4</f>
        <v>50.1</v>
      </c>
      <c r="AE8" s="337">
        <f>48.6-0.9-1.6</f>
        <v>46.1</v>
      </c>
      <c r="AF8" s="337">
        <f>51.8-1.9</f>
        <v>49.9</v>
      </c>
      <c r="AG8" s="337">
        <f>25.6-1.9</f>
        <v>23.700000000000003</v>
      </c>
      <c r="AH8" s="338">
        <f>25.2-2</f>
        <v>23.2</v>
      </c>
      <c r="AI8" s="337">
        <f>18.2-2.1</f>
        <v>16.099999999999998</v>
      </c>
      <c r="AJ8" s="337">
        <f>16.4-2.2</f>
        <v>14.2</v>
      </c>
      <c r="AK8" s="337">
        <f>17.6-2.6</f>
        <v>15.000000000000002</v>
      </c>
      <c r="AL8" s="338">
        <f>14.7-2.4</f>
        <v>12.299999999999999</v>
      </c>
      <c r="AM8" s="425">
        <v>21.9</v>
      </c>
      <c r="AN8" s="337">
        <v>32</v>
      </c>
      <c r="AO8" s="337">
        <v>34.6</v>
      </c>
      <c r="AP8" s="338">
        <v>27.099999999999998</v>
      </c>
      <c r="AQ8" s="337">
        <v>31.499999999999996</v>
      </c>
      <c r="AR8" s="337">
        <v>27.100000000000005</v>
      </c>
      <c r="AS8" s="337">
        <v>29.1</v>
      </c>
      <c r="AT8" s="338">
        <v>25.200000000000003</v>
      </c>
      <c r="AU8" s="337">
        <f t="shared" ref="AU8:BB8" si="0">+AU9-AU10</f>
        <v>25.299999999999997</v>
      </c>
      <c r="AV8" s="337">
        <f t="shared" si="0"/>
        <v>45.800000000000004</v>
      </c>
      <c r="AW8" s="337">
        <f t="shared" si="0"/>
        <v>21.099999999999994</v>
      </c>
      <c r="AX8" s="338">
        <f t="shared" si="0"/>
        <v>23.9</v>
      </c>
      <c r="AY8" s="337">
        <f t="shared" si="0"/>
        <v>31.799999999999997</v>
      </c>
      <c r="AZ8" s="337">
        <f t="shared" si="0"/>
        <v>55.400000000000006</v>
      </c>
      <c r="BA8" s="337">
        <f t="shared" si="0"/>
        <v>33.099999999999994</v>
      </c>
      <c r="BB8" s="338">
        <f t="shared" si="0"/>
        <v>26.900000000000006</v>
      </c>
      <c r="BC8" s="337">
        <f t="shared" ref="BC8" si="1">+BC9-BC10</f>
        <v>28.5</v>
      </c>
      <c r="BD8" s="337">
        <f t="shared" ref="BD8:BE8" si="2">+BD9-BD10</f>
        <v>22.299999999999997</v>
      </c>
      <c r="BE8" s="337">
        <f t="shared" si="2"/>
        <v>34.399999999999984</v>
      </c>
      <c r="BF8" s="337">
        <f t="shared" ref="BF8" si="3">+BF9-BF10</f>
        <v>55.089999999999989</v>
      </c>
    </row>
    <row r="9" spans="1:58" s="418" customFormat="1" ht="11.25">
      <c r="A9" s="533" t="s">
        <v>848</v>
      </c>
      <c r="B9" s="533" t="s">
        <v>846</v>
      </c>
      <c r="C9" s="425"/>
      <c r="D9" s="337"/>
      <c r="E9" s="337"/>
      <c r="F9" s="337"/>
      <c r="G9" s="425"/>
      <c r="H9" s="337"/>
      <c r="I9" s="337"/>
      <c r="J9" s="338"/>
      <c r="K9" s="425"/>
      <c r="L9" s="337"/>
      <c r="M9" s="337"/>
      <c r="N9" s="338"/>
      <c r="O9" s="425"/>
      <c r="P9" s="337"/>
      <c r="Q9" s="337"/>
      <c r="R9" s="338"/>
      <c r="S9" s="425"/>
      <c r="T9" s="337"/>
      <c r="U9" s="337"/>
      <c r="V9" s="338"/>
      <c r="W9" s="425"/>
      <c r="X9" s="337"/>
      <c r="Y9" s="337"/>
      <c r="Z9" s="338"/>
      <c r="AA9" s="337"/>
      <c r="AB9" s="337"/>
      <c r="AC9" s="337"/>
      <c r="AD9" s="338"/>
      <c r="AE9" s="337"/>
      <c r="AF9" s="337"/>
      <c r="AG9" s="337"/>
      <c r="AH9" s="338"/>
      <c r="AI9" s="337"/>
      <c r="AJ9" s="337"/>
      <c r="AK9" s="337"/>
      <c r="AL9" s="338"/>
      <c r="AM9" s="425"/>
      <c r="AN9" s="337"/>
      <c r="AO9" s="337"/>
      <c r="AP9" s="338"/>
      <c r="AQ9" s="337"/>
      <c r="AR9" s="337"/>
      <c r="AS9" s="337"/>
      <c r="AT9" s="338"/>
      <c r="AU9" s="337">
        <v>59.5</v>
      </c>
      <c r="AV9" s="337">
        <v>82.5</v>
      </c>
      <c r="AW9" s="337">
        <v>61</v>
      </c>
      <c r="AX9" s="338">
        <v>68.3</v>
      </c>
      <c r="AY9" s="337">
        <v>73.2</v>
      </c>
      <c r="AZ9" s="337">
        <v>101.7</v>
      </c>
      <c r="BA9" s="337">
        <v>89.5</v>
      </c>
      <c r="BB9" s="338">
        <v>87.5</v>
      </c>
      <c r="BC9" s="337">
        <v>84.4</v>
      </c>
      <c r="BD9" s="337">
        <v>79.3</v>
      </c>
      <c r="BE9" s="337">
        <v>95.799999999999983</v>
      </c>
      <c r="BF9" s="337">
        <v>115.19999999999999</v>
      </c>
    </row>
    <row r="10" spans="1:58" s="418" customFormat="1" ht="11.25">
      <c r="A10" s="533" t="s">
        <v>849</v>
      </c>
      <c r="B10" s="533" t="s">
        <v>847</v>
      </c>
      <c r="C10" s="425"/>
      <c r="D10" s="337"/>
      <c r="E10" s="337"/>
      <c r="F10" s="337"/>
      <c r="G10" s="425"/>
      <c r="H10" s="337"/>
      <c r="I10" s="337"/>
      <c r="J10" s="338"/>
      <c r="K10" s="425"/>
      <c r="L10" s="337"/>
      <c r="M10" s="337"/>
      <c r="N10" s="338"/>
      <c r="O10" s="425"/>
      <c r="P10" s="337"/>
      <c r="Q10" s="337"/>
      <c r="R10" s="338"/>
      <c r="S10" s="425"/>
      <c r="T10" s="337"/>
      <c r="U10" s="337"/>
      <c r="V10" s="338"/>
      <c r="W10" s="425"/>
      <c r="X10" s="337"/>
      <c r="Y10" s="337"/>
      <c r="Z10" s="338"/>
      <c r="AA10" s="337"/>
      <c r="AB10" s="337"/>
      <c r="AC10" s="337"/>
      <c r="AD10" s="338"/>
      <c r="AE10" s="337"/>
      <c r="AF10" s="337"/>
      <c r="AG10" s="337"/>
      <c r="AH10" s="338"/>
      <c r="AI10" s="337"/>
      <c r="AJ10" s="337"/>
      <c r="AK10" s="337"/>
      <c r="AL10" s="338"/>
      <c r="AM10" s="425"/>
      <c r="AN10" s="337"/>
      <c r="AO10" s="337"/>
      <c r="AP10" s="338"/>
      <c r="AQ10" s="337"/>
      <c r="AR10" s="337"/>
      <c r="AS10" s="337"/>
      <c r="AT10" s="338"/>
      <c r="AU10" s="337">
        <v>34.200000000000003</v>
      </c>
      <c r="AV10" s="337">
        <v>36.699999999999996</v>
      </c>
      <c r="AW10" s="337">
        <v>39.900000000000006</v>
      </c>
      <c r="AX10" s="338">
        <v>44.4</v>
      </c>
      <c r="AY10" s="337">
        <v>41.400000000000006</v>
      </c>
      <c r="AZ10" s="337">
        <v>46.3</v>
      </c>
      <c r="BA10" s="337">
        <v>56.400000000000006</v>
      </c>
      <c r="BB10" s="338">
        <v>60.599999999999994</v>
      </c>
      <c r="BC10" s="337">
        <v>55.900000000000006</v>
      </c>
      <c r="BD10" s="337">
        <v>57</v>
      </c>
      <c r="BE10" s="337">
        <v>61.4</v>
      </c>
      <c r="BF10" s="337">
        <v>60.11</v>
      </c>
    </row>
    <row r="11" spans="1:58" s="424" customFormat="1" ht="11.25">
      <c r="A11" s="415" t="s">
        <v>214</v>
      </c>
      <c r="B11" s="415" t="s">
        <v>407</v>
      </c>
      <c r="C11" s="425">
        <v>27.6</v>
      </c>
      <c r="D11" s="337">
        <v>21.9</v>
      </c>
      <c r="E11" s="337">
        <v>30.7</v>
      </c>
      <c r="F11" s="337">
        <v>29.7</v>
      </c>
      <c r="G11" s="425">
        <v>33.6</v>
      </c>
      <c r="H11" s="337">
        <v>25.8</v>
      </c>
      <c r="I11" s="337">
        <v>30.7</v>
      </c>
      <c r="J11" s="338">
        <v>32.700000000000003</v>
      </c>
      <c r="K11" s="425">
        <v>34.200000000000003</v>
      </c>
      <c r="L11" s="337">
        <v>33.200000000000003</v>
      </c>
      <c r="M11" s="337">
        <v>36.5</v>
      </c>
      <c r="N11" s="338">
        <v>37.9</v>
      </c>
      <c r="O11" s="425">
        <v>36.6</v>
      </c>
      <c r="P11" s="337">
        <v>38.6</v>
      </c>
      <c r="Q11" s="337">
        <v>40.1</v>
      </c>
      <c r="R11" s="338">
        <v>39.5</v>
      </c>
      <c r="S11" s="425">
        <v>42.8</v>
      </c>
      <c r="T11" s="337">
        <v>42.6</v>
      </c>
      <c r="U11" s="337">
        <v>49.1</v>
      </c>
      <c r="V11" s="338">
        <v>44.1</v>
      </c>
      <c r="W11" s="425">
        <v>43.9</v>
      </c>
      <c r="X11" s="337">
        <v>45.1</v>
      </c>
      <c r="Y11" s="337">
        <v>43</v>
      </c>
      <c r="Z11" s="338">
        <v>46.5</v>
      </c>
      <c r="AA11" s="337">
        <f>47.2+1.8</f>
        <v>49</v>
      </c>
      <c r="AB11" s="337">
        <v>51.6</v>
      </c>
      <c r="AC11" s="337">
        <v>49.1</v>
      </c>
      <c r="AD11" s="338">
        <v>44.5</v>
      </c>
      <c r="AE11" s="337">
        <v>54.6</v>
      </c>
      <c r="AF11" s="337">
        <v>54</v>
      </c>
      <c r="AG11" s="337">
        <v>51.4</v>
      </c>
      <c r="AH11" s="338">
        <v>50</v>
      </c>
      <c r="AI11" s="337">
        <v>57.1</v>
      </c>
      <c r="AJ11" s="337">
        <v>58.5</v>
      </c>
      <c r="AK11" s="337">
        <v>54</v>
      </c>
      <c r="AL11" s="338">
        <v>51.5</v>
      </c>
      <c r="AM11" s="425">
        <v>64</v>
      </c>
      <c r="AN11" s="337">
        <v>58.8</v>
      </c>
      <c r="AO11" s="337">
        <v>60.4</v>
      </c>
      <c r="AP11" s="338">
        <v>67.2</v>
      </c>
      <c r="AQ11" s="337">
        <v>67.099999999999994</v>
      </c>
      <c r="AR11" s="337">
        <v>64.5</v>
      </c>
      <c r="AS11" s="337">
        <v>65.400000000000006</v>
      </c>
      <c r="AT11" s="338">
        <v>66.400000000000006</v>
      </c>
      <c r="AU11" s="337">
        <v>77.400000000000006</v>
      </c>
      <c r="AV11" s="337">
        <v>74.400000000000006</v>
      </c>
      <c r="AW11" s="337">
        <v>72.7</v>
      </c>
      <c r="AX11" s="338">
        <v>73</v>
      </c>
      <c r="AY11" s="337">
        <v>82.5</v>
      </c>
      <c r="AZ11" s="337">
        <v>81.400000000000006</v>
      </c>
      <c r="BA11" s="337">
        <v>78.5</v>
      </c>
      <c r="BB11" s="338">
        <v>84.7</v>
      </c>
      <c r="BC11" s="337">
        <v>92.9</v>
      </c>
      <c r="BD11" s="337">
        <v>86.199999999999989</v>
      </c>
      <c r="BE11" s="337">
        <v>86.4</v>
      </c>
      <c r="BF11" s="337">
        <v>85.5</v>
      </c>
    </row>
    <row r="12" spans="1:58" s="424" customFormat="1" ht="11.25">
      <c r="A12" s="532" t="s">
        <v>215</v>
      </c>
      <c r="B12" s="532" t="s">
        <v>408</v>
      </c>
      <c r="C12" s="425">
        <v>50</v>
      </c>
      <c r="D12" s="337">
        <v>54.9</v>
      </c>
      <c r="E12" s="337">
        <v>58.2</v>
      </c>
      <c r="F12" s="337">
        <v>50.1</v>
      </c>
      <c r="G12" s="425">
        <v>33.700000000000003</v>
      </c>
      <c r="H12" s="337">
        <v>27.9</v>
      </c>
      <c r="I12" s="337">
        <v>21.8</v>
      </c>
      <c r="J12" s="338">
        <v>15.2</v>
      </c>
      <c r="K12" s="425">
        <v>12.2</v>
      </c>
      <c r="L12" s="337">
        <v>14.3</v>
      </c>
      <c r="M12" s="337">
        <v>13.5</v>
      </c>
      <c r="N12" s="338">
        <v>23.2</v>
      </c>
      <c r="O12" s="425">
        <v>16.399999999999999</v>
      </c>
      <c r="P12" s="337">
        <v>20.5</v>
      </c>
      <c r="Q12" s="337">
        <v>21.3</v>
      </c>
      <c r="R12" s="338">
        <v>23.1</v>
      </c>
      <c r="S12" s="425">
        <v>22.6</v>
      </c>
      <c r="T12" s="337">
        <v>23</v>
      </c>
      <c r="U12" s="337">
        <v>18.899999999999999</v>
      </c>
      <c r="V12" s="338">
        <v>15.9</v>
      </c>
      <c r="W12" s="425">
        <v>15.2</v>
      </c>
      <c r="X12" s="337">
        <v>14.8</v>
      </c>
      <c r="Y12" s="337">
        <v>14.7</v>
      </c>
      <c r="Z12" s="338">
        <v>16.899999999999999</v>
      </c>
      <c r="AA12" s="337">
        <v>16.3</v>
      </c>
      <c r="AB12" s="337">
        <v>17.8</v>
      </c>
      <c r="AC12" s="337">
        <v>19.3</v>
      </c>
      <c r="AD12" s="338">
        <v>22</v>
      </c>
      <c r="AE12" s="337">
        <v>20.5</v>
      </c>
      <c r="AF12" s="337">
        <v>21.2</v>
      </c>
      <c r="AG12" s="337">
        <v>21.1</v>
      </c>
      <c r="AH12" s="338">
        <v>22.8</v>
      </c>
      <c r="AI12" s="337">
        <v>23</v>
      </c>
      <c r="AJ12" s="337">
        <v>26.4</v>
      </c>
      <c r="AK12" s="337">
        <v>26.1</v>
      </c>
      <c r="AL12" s="338">
        <v>24.9</v>
      </c>
      <c r="AM12" s="425">
        <v>21.8</v>
      </c>
      <c r="AN12" s="337">
        <v>21.9</v>
      </c>
      <c r="AO12" s="337">
        <v>22.1</v>
      </c>
      <c r="AP12" s="338">
        <v>23.1</v>
      </c>
      <c r="AQ12" s="337">
        <v>23.5</v>
      </c>
      <c r="AR12" s="337">
        <v>24.6</v>
      </c>
      <c r="AS12" s="337">
        <v>26.2</v>
      </c>
      <c r="AT12" s="338">
        <v>27.1</v>
      </c>
      <c r="AU12" s="337">
        <v>25.8</v>
      </c>
      <c r="AV12" s="337">
        <v>26</v>
      </c>
      <c r="AW12" s="337">
        <v>27.7</v>
      </c>
      <c r="AX12" s="338">
        <v>20.100000000000001</v>
      </c>
      <c r="AY12" s="337">
        <v>16</v>
      </c>
      <c r="AZ12" s="337">
        <v>18.5</v>
      </c>
      <c r="BA12" s="337">
        <v>19</v>
      </c>
      <c r="BB12" s="338">
        <v>21</v>
      </c>
      <c r="BC12" s="337">
        <v>20.100000000000001</v>
      </c>
      <c r="BD12" s="337">
        <v>17.699999999999996</v>
      </c>
      <c r="BE12" s="337">
        <v>19.8</v>
      </c>
      <c r="BF12" s="337">
        <v>21.1</v>
      </c>
    </row>
    <row r="13" spans="1:58" s="424" customFormat="1" ht="11.25">
      <c r="A13" s="531" t="s">
        <v>212</v>
      </c>
      <c r="B13" s="531" t="s">
        <v>409</v>
      </c>
      <c r="C13" s="425">
        <v>33.1</v>
      </c>
      <c r="D13" s="337">
        <v>32.4</v>
      </c>
      <c r="E13" s="337">
        <v>28.2</v>
      </c>
      <c r="F13" s="337">
        <v>31.1</v>
      </c>
      <c r="G13" s="425">
        <v>25.7</v>
      </c>
      <c r="H13" s="337">
        <v>16.3</v>
      </c>
      <c r="I13" s="337">
        <v>16.2</v>
      </c>
      <c r="J13" s="338">
        <v>17.2</v>
      </c>
      <c r="K13" s="425">
        <v>15.2</v>
      </c>
      <c r="L13" s="337">
        <v>17.3</v>
      </c>
      <c r="M13" s="337">
        <v>20</v>
      </c>
      <c r="N13" s="338">
        <v>21.4</v>
      </c>
      <c r="O13" s="425">
        <v>21.3</v>
      </c>
      <c r="P13" s="337">
        <v>17.399999999999999</v>
      </c>
      <c r="Q13" s="337">
        <v>20.3</v>
      </c>
      <c r="R13" s="338">
        <v>15.9</v>
      </c>
      <c r="S13" s="425">
        <v>19.899999999999999</v>
      </c>
      <c r="T13" s="337">
        <v>23.2</v>
      </c>
      <c r="U13" s="337">
        <v>17.600000000000001</v>
      </c>
      <c r="V13" s="338">
        <v>16.100000000000001</v>
      </c>
      <c r="W13" s="425">
        <v>19.100000000000001</v>
      </c>
      <c r="X13" s="337">
        <v>12.3</v>
      </c>
      <c r="Y13" s="337">
        <v>10.8</v>
      </c>
      <c r="Z13" s="338">
        <v>14.5</v>
      </c>
      <c r="AA13" s="337">
        <v>10.9</v>
      </c>
      <c r="AB13" s="337">
        <v>14.3</v>
      </c>
      <c r="AC13" s="337">
        <v>10.5</v>
      </c>
      <c r="AD13" s="338">
        <v>10.6</v>
      </c>
      <c r="AE13" s="337">
        <v>15.4</v>
      </c>
      <c r="AF13" s="337">
        <v>9.1</v>
      </c>
      <c r="AG13" s="337">
        <v>9.1</v>
      </c>
      <c r="AH13" s="338">
        <v>9.5</v>
      </c>
      <c r="AI13" s="337">
        <v>10.3</v>
      </c>
      <c r="AJ13" s="337">
        <v>11.2</v>
      </c>
      <c r="AK13" s="337">
        <v>9.3000000000000007</v>
      </c>
      <c r="AL13" s="338">
        <v>15.4</v>
      </c>
      <c r="AM13" s="425">
        <v>8.8000000000000007</v>
      </c>
      <c r="AN13" s="337">
        <v>8</v>
      </c>
      <c r="AO13" s="337">
        <v>7.6</v>
      </c>
      <c r="AP13" s="338">
        <v>4.7</v>
      </c>
      <c r="AQ13" s="337">
        <v>7.4</v>
      </c>
      <c r="AR13" s="337">
        <v>5.9</v>
      </c>
      <c r="AS13" s="337">
        <v>5.7</v>
      </c>
      <c r="AT13" s="338">
        <v>5.0999999999999996</v>
      </c>
      <c r="AU13" s="337">
        <v>5.5</v>
      </c>
      <c r="AV13" s="337">
        <v>5</v>
      </c>
      <c r="AW13" s="337">
        <v>5.6</v>
      </c>
      <c r="AX13" s="338">
        <v>5.3</v>
      </c>
      <c r="AY13" s="337">
        <v>5.8</v>
      </c>
      <c r="AZ13" s="337">
        <v>4.7</v>
      </c>
      <c r="BA13" s="337">
        <v>5.0999999999999996</v>
      </c>
      <c r="BB13" s="338">
        <v>4.5000000000000018</v>
      </c>
      <c r="BC13" s="337">
        <v>10.7</v>
      </c>
      <c r="BD13" s="337">
        <v>20.6</v>
      </c>
      <c r="BE13" s="337">
        <v>23</v>
      </c>
      <c r="BF13" s="337">
        <v>8.8000000000000007</v>
      </c>
    </row>
    <row r="14" spans="1:58" s="428" customFormat="1" ht="11.25">
      <c r="A14" s="415" t="s">
        <v>216</v>
      </c>
      <c r="B14" s="415" t="s">
        <v>410</v>
      </c>
      <c r="C14" s="425">
        <v>8.5</v>
      </c>
      <c r="D14" s="337">
        <v>7.4</v>
      </c>
      <c r="E14" s="337">
        <v>9.1999999999999993</v>
      </c>
      <c r="F14" s="337">
        <v>1.8</v>
      </c>
      <c r="G14" s="425">
        <v>7.2</v>
      </c>
      <c r="H14" s="337">
        <v>8</v>
      </c>
      <c r="I14" s="337">
        <v>7.4</v>
      </c>
      <c r="J14" s="338">
        <v>6.6</v>
      </c>
      <c r="K14" s="425">
        <v>6.3</v>
      </c>
      <c r="L14" s="337">
        <v>6.4</v>
      </c>
      <c r="M14" s="337">
        <v>6.4</v>
      </c>
      <c r="N14" s="338">
        <v>6.8</v>
      </c>
      <c r="O14" s="425">
        <v>6.8</v>
      </c>
      <c r="P14" s="337">
        <v>6.9</v>
      </c>
      <c r="Q14" s="337">
        <v>7.5</v>
      </c>
      <c r="R14" s="338">
        <v>7.3</v>
      </c>
      <c r="S14" s="425">
        <v>7.3</v>
      </c>
      <c r="T14" s="337">
        <v>8.1999999999999993</v>
      </c>
      <c r="U14" s="337">
        <v>9</v>
      </c>
      <c r="V14" s="338">
        <v>6.9</v>
      </c>
      <c r="W14" s="425">
        <v>6.5</v>
      </c>
      <c r="X14" s="337">
        <v>7.1</v>
      </c>
      <c r="Y14" s="337">
        <v>6.8</v>
      </c>
      <c r="Z14" s="338">
        <v>7.1</v>
      </c>
      <c r="AA14" s="337">
        <v>7.8</v>
      </c>
      <c r="AB14" s="337">
        <v>7.6</v>
      </c>
      <c r="AC14" s="337">
        <v>8</v>
      </c>
      <c r="AD14" s="338">
        <v>7.5</v>
      </c>
      <c r="AE14" s="337">
        <v>7.1</v>
      </c>
      <c r="AF14" s="337">
        <v>7.9</v>
      </c>
      <c r="AG14" s="337">
        <v>7.8</v>
      </c>
      <c r="AH14" s="338">
        <v>7.3</v>
      </c>
      <c r="AI14" s="337">
        <v>8.3000000000000007</v>
      </c>
      <c r="AJ14" s="337">
        <v>6.4</v>
      </c>
      <c r="AK14" s="337">
        <v>6</v>
      </c>
      <c r="AL14" s="338">
        <v>5.7</v>
      </c>
      <c r="AM14" s="425">
        <v>6</v>
      </c>
      <c r="AN14" s="337">
        <v>6.4</v>
      </c>
      <c r="AO14" s="337">
        <v>6.1</v>
      </c>
      <c r="AP14" s="338">
        <v>6.1</v>
      </c>
      <c r="AQ14" s="337">
        <v>7.6</v>
      </c>
      <c r="AR14" s="337">
        <v>6.9</v>
      </c>
      <c r="AS14" s="337">
        <v>7</v>
      </c>
      <c r="AT14" s="338">
        <v>7</v>
      </c>
      <c r="AU14" s="337">
        <v>7.3</v>
      </c>
      <c r="AV14" s="337">
        <v>7.1</v>
      </c>
      <c r="AW14" s="337">
        <v>6.7</v>
      </c>
      <c r="AX14" s="338">
        <v>8.1999999999999993</v>
      </c>
      <c r="AY14" s="337">
        <v>6.8</v>
      </c>
      <c r="AZ14" s="337">
        <v>7.4</v>
      </c>
      <c r="BA14" s="337">
        <v>7</v>
      </c>
      <c r="BB14" s="338">
        <v>7</v>
      </c>
      <c r="BC14" s="337">
        <v>8</v>
      </c>
      <c r="BD14" s="337">
        <v>7.5</v>
      </c>
      <c r="BE14" s="337">
        <v>9</v>
      </c>
      <c r="BF14" s="337">
        <v>7.7</v>
      </c>
    </row>
    <row r="15" spans="1:58" s="424" customFormat="1" ht="11.25">
      <c r="A15" s="532" t="s">
        <v>217</v>
      </c>
      <c r="B15" s="532" t="s">
        <v>411</v>
      </c>
      <c r="C15" s="425">
        <v>0.1</v>
      </c>
      <c r="D15" s="337">
        <v>0.1</v>
      </c>
      <c r="E15" s="337">
        <v>0.2</v>
      </c>
      <c r="F15" s="337">
        <v>0.2</v>
      </c>
      <c r="G15" s="425">
        <v>0.1</v>
      </c>
      <c r="H15" s="337">
        <v>0.2</v>
      </c>
      <c r="I15" s="337">
        <v>0.2</v>
      </c>
      <c r="J15" s="338">
        <v>0.2</v>
      </c>
      <c r="K15" s="425">
        <v>0.1</v>
      </c>
      <c r="L15" s="337">
        <v>0.1</v>
      </c>
      <c r="M15" s="337">
        <v>0.1</v>
      </c>
      <c r="N15" s="338">
        <v>0.1</v>
      </c>
      <c r="O15" s="425">
        <v>0.1</v>
      </c>
      <c r="P15" s="337">
        <v>0.2</v>
      </c>
      <c r="Q15" s="337">
        <v>0.2</v>
      </c>
      <c r="R15" s="338">
        <v>0.2</v>
      </c>
      <c r="S15" s="425">
        <v>0</v>
      </c>
      <c r="T15" s="337">
        <v>0.2</v>
      </c>
      <c r="U15" s="337">
        <v>0.2</v>
      </c>
      <c r="V15" s="338">
        <v>0.2</v>
      </c>
      <c r="W15" s="425">
        <f>5.5+0.4</f>
        <v>5.9</v>
      </c>
      <c r="X15" s="337">
        <f>5.1+0.8</f>
        <v>5.8999999999999995</v>
      </c>
      <c r="Y15" s="337">
        <f>4.5+0.5</f>
        <v>5</v>
      </c>
      <c r="Z15" s="338">
        <f>5+0.5</f>
        <v>5.5</v>
      </c>
      <c r="AA15" s="337">
        <v>6.4</v>
      </c>
      <c r="AB15" s="337">
        <v>6.8</v>
      </c>
      <c r="AC15" s="337">
        <v>5.8</v>
      </c>
      <c r="AD15" s="338">
        <v>7.3</v>
      </c>
      <c r="AE15" s="337">
        <v>6.4</v>
      </c>
      <c r="AF15" s="337">
        <v>7.9</v>
      </c>
      <c r="AG15" s="337">
        <v>8.1999999999999993</v>
      </c>
      <c r="AH15" s="338">
        <v>8.3000000000000007</v>
      </c>
      <c r="AI15" s="337">
        <v>7.6</v>
      </c>
      <c r="AJ15" s="337">
        <v>8.6999999999999993</v>
      </c>
      <c r="AK15" s="337">
        <v>7.9</v>
      </c>
      <c r="AL15" s="338">
        <v>10</v>
      </c>
      <c r="AM15" s="425">
        <v>9</v>
      </c>
      <c r="AN15" s="337">
        <v>11</v>
      </c>
      <c r="AO15" s="337">
        <v>11.1</v>
      </c>
      <c r="AP15" s="338">
        <v>12.3</v>
      </c>
      <c r="AQ15" s="337">
        <v>10.9</v>
      </c>
      <c r="AR15" s="337">
        <v>11.8</v>
      </c>
      <c r="AS15" s="337">
        <v>13.2</v>
      </c>
      <c r="AT15" s="338">
        <v>13.2</v>
      </c>
      <c r="AU15" s="337">
        <v>12.8</v>
      </c>
      <c r="AV15" s="337">
        <v>15.3</v>
      </c>
      <c r="AW15" s="337">
        <v>14.8</v>
      </c>
      <c r="AX15" s="338">
        <v>14.6</v>
      </c>
      <c r="AY15" s="337">
        <v>7.1000000000000014</v>
      </c>
      <c r="AZ15" s="337">
        <v>6.1</v>
      </c>
      <c r="BA15" s="337">
        <v>6.5</v>
      </c>
      <c r="BB15" s="338">
        <v>4.9000000000000004</v>
      </c>
      <c r="BC15" s="337">
        <v>7.3</v>
      </c>
      <c r="BD15" s="337">
        <v>7.1000000000000014</v>
      </c>
      <c r="BE15" s="337">
        <v>10.199999999999999</v>
      </c>
      <c r="BF15" s="337">
        <v>6.5</v>
      </c>
    </row>
    <row r="16" spans="1:58" s="424" customFormat="1" ht="11.25">
      <c r="A16" s="532" t="s">
        <v>218</v>
      </c>
      <c r="B16" s="532" t="s">
        <v>511</v>
      </c>
      <c r="C16" s="425">
        <v>5.5</v>
      </c>
      <c r="D16" s="337">
        <v>5.8</v>
      </c>
      <c r="E16" s="337">
        <v>5.7</v>
      </c>
      <c r="F16" s="337">
        <v>4.7</v>
      </c>
      <c r="G16" s="425">
        <v>3.9</v>
      </c>
      <c r="H16" s="337">
        <v>4.0999999999999996</v>
      </c>
      <c r="I16" s="337">
        <v>4</v>
      </c>
      <c r="J16" s="338">
        <v>3.8</v>
      </c>
      <c r="K16" s="425">
        <v>3.2</v>
      </c>
      <c r="L16" s="337">
        <v>3.5</v>
      </c>
      <c r="M16" s="337">
        <v>3.9</v>
      </c>
      <c r="N16" s="338">
        <v>3.7</v>
      </c>
      <c r="O16" s="425">
        <v>3.1</v>
      </c>
      <c r="P16" s="337">
        <v>3.2</v>
      </c>
      <c r="Q16" s="337">
        <v>3.2</v>
      </c>
      <c r="R16" s="338">
        <v>3.5</v>
      </c>
      <c r="S16" s="425">
        <v>3.4</v>
      </c>
      <c r="T16" s="337">
        <v>3.7</v>
      </c>
      <c r="U16" s="337">
        <v>3.7</v>
      </c>
      <c r="V16" s="338">
        <v>3.5</v>
      </c>
      <c r="W16" s="425">
        <v>3.3</v>
      </c>
      <c r="X16" s="337">
        <v>3.5</v>
      </c>
      <c r="Y16" s="337">
        <v>3.5</v>
      </c>
      <c r="Z16" s="338">
        <v>3.8</v>
      </c>
      <c r="AA16" s="337">
        <v>3.9</v>
      </c>
      <c r="AB16" s="337">
        <v>3.9</v>
      </c>
      <c r="AC16" s="337">
        <v>4</v>
      </c>
      <c r="AD16" s="338">
        <v>4.2</v>
      </c>
      <c r="AE16" s="337">
        <v>4.2</v>
      </c>
      <c r="AF16" s="337">
        <v>4.4000000000000004</v>
      </c>
      <c r="AG16" s="337">
        <v>4.5</v>
      </c>
      <c r="AH16" s="338">
        <v>4.5999999999999996</v>
      </c>
      <c r="AI16" s="337">
        <v>4.5999999999999996</v>
      </c>
      <c r="AJ16" s="337">
        <v>4.9000000000000004</v>
      </c>
      <c r="AK16" s="337">
        <v>5.0999999999999996</v>
      </c>
      <c r="AL16" s="338">
        <v>5.3</v>
      </c>
      <c r="AM16" s="425">
        <v>5.2</v>
      </c>
      <c r="AN16" s="337">
        <v>6</v>
      </c>
      <c r="AO16" s="337">
        <v>6.3</v>
      </c>
      <c r="AP16" s="338">
        <v>6.5</v>
      </c>
      <c r="AQ16" s="337">
        <v>6.7</v>
      </c>
      <c r="AR16" s="337">
        <v>7.2</v>
      </c>
      <c r="AS16" s="337">
        <v>7.7</v>
      </c>
      <c r="AT16" s="338">
        <v>8.1</v>
      </c>
      <c r="AU16" s="337">
        <v>8.1</v>
      </c>
      <c r="AV16" s="337">
        <v>8.6</v>
      </c>
      <c r="AW16" s="337">
        <v>9.1</v>
      </c>
      <c r="AX16" s="338">
        <v>9.3000000000000007</v>
      </c>
      <c r="AY16" s="337">
        <v>9</v>
      </c>
      <c r="AZ16" s="337">
        <v>9.5</v>
      </c>
      <c r="BA16" s="337">
        <v>10</v>
      </c>
      <c r="BB16" s="338">
        <v>9.6</v>
      </c>
      <c r="BC16" s="337">
        <v>6.5</v>
      </c>
      <c r="BD16" s="337">
        <v>6.6</v>
      </c>
      <c r="BE16" s="337">
        <v>10</v>
      </c>
      <c r="BF16" s="337">
        <v>10.9</v>
      </c>
    </row>
    <row r="17" spans="1:58" s="424" customFormat="1" ht="11.25">
      <c r="A17" s="532" t="s">
        <v>421</v>
      </c>
      <c r="B17" s="532" t="s">
        <v>420</v>
      </c>
      <c r="C17" s="425">
        <v>0.6</v>
      </c>
      <c r="D17" s="337">
        <v>0.8</v>
      </c>
      <c r="E17" s="337">
        <v>0.8</v>
      </c>
      <c r="F17" s="337">
        <v>2</v>
      </c>
      <c r="G17" s="425">
        <v>1.1000000000000001</v>
      </c>
      <c r="H17" s="337">
        <v>1.6</v>
      </c>
      <c r="I17" s="337">
        <v>9.5</v>
      </c>
      <c r="J17" s="338">
        <v>16.2</v>
      </c>
      <c r="K17" s="425">
        <v>14.5</v>
      </c>
      <c r="L17" s="337">
        <v>20.8</v>
      </c>
      <c r="M17" s="337">
        <v>22.700000000000003</v>
      </c>
      <c r="N17" s="338">
        <v>18.899999999999999</v>
      </c>
      <c r="O17" s="425">
        <v>4</v>
      </c>
      <c r="P17" s="337">
        <v>15.200000000000001</v>
      </c>
      <c r="Q17" s="337">
        <v>11.600000000000001</v>
      </c>
      <c r="R17" s="338">
        <v>16.899999999999999</v>
      </c>
      <c r="S17" s="425">
        <v>8.4</v>
      </c>
      <c r="T17" s="337">
        <v>7.3</v>
      </c>
      <c r="U17" s="337">
        <v>6.9</v>
      </c>
      <c r="V17" s="338">
        <v>7.3</v>
      </c>
      <c r="W17" s="425">
        <f>5.5+0.3-0.3</f>
        <v>5.5</v>
      </c>
      <c r="X17" s="337">
        <f>8.5+0.4-0.3</f>
        <v>8.6</v>
      </c>
      <c r="Y17" s="337">
        <f>9.6+0.7-0.3</f>
        <v>9.9999999999999982</v>
      </c>
      <c r="Z17" s="338">
        <f>8+0.6-0.3</f>
        <v>8.2999999999999989</v>
      </c>
      <c r="AA17" s="337">
        <f>2.6+0.8-0.3</f>
        <v>3.1000000000000005</v>
      </c>
      <c r="AB17" s="337">
        <f>3.6-0.5+1.1-0.3</f>
        <v>3.9000000000000004</v>
      </c>
      <c r="AC17" s="337">
        <f>-8-1.2+1.1-0.3</f>
        <v>-8.4</v>
      </c>
      <c r="AD17" s="338">
        <f>4.4+1.4-0.3</f>
        <v>5.5000000000000009</v>
      </c>
      <c r="AE17" s="337">
        <f>10.4+1.6-0.3</f>
        <v>11.7</v>
      </c>
      <c r="AF17" s="337">
        <f>10.5+1.9-0.3</f>
        <v>12.1</v>
      </c>
      <c r="AG17" s="337">
        <f>11.5+1.9-0.3</f>
        <v>13.1</v>
      </c>
      <c r="AH17" s="338">
        <f>12.5+2-0.3</f>
        <v>14.2</v>
      </c>
      <c r="AI17" s="337">
        <f>13.7+2.1-0.3</f>
        <v>15.499999999999998</v>
      </c>
      <c r="AJ17" s="337">
        <f>15.6+2.2-0.3</f>
        <v>17.5</v>
      </c>
      <c r="AK17" s="337">
        <f>12.7+2.6-0.3</f>
        <v>14.999999999999998</v>
      </c>
      <c r="AL17" s="338">
        <f>12.8+2.4-0.3</f>
        <v>14.9</v>
      </c>
      <c r="AM17" s="425">
        <f>12+2.1-0.3</f>
        <v>13.799999999999999</v>
      </c>
      <c r="AN17" s="337">
        <f>9.9-0.3</f>
        <v>9.6</v>
      </c>
      <c r="AO17" s="337">
        <f>8.2-0.3</f>
        <v>7.8999999999999995</v>
      </c>
      <c r="AP17" s="338">
        <v>18.600000000000001</v>
      </c>
      <c r="AQ17" s="337">
        <v>16.099999999999998</v>
      </c>
      <c r="AR17" s="337">
        <v>21.5</v>
      </c>
      <c r="AS17" s="337">
        <v>21.8</v>
      </c>
      <c r="AT17" s="338">
        <v>20.500000000000004</v>
      </c>
      <c r="AU17" s="337">
        <v>23.400000000000002</v>
      </c>
      <c r="AV17" s="337">
        <v>26.6</v>
      </c>
      <c r="AW17" s="337">
        <v>27.4</v>
      </c>
      <c r="AX17" s="338">
        <v>32</v>
      </c>
      <c r="AY17" s="337">
        <v>29.8</v>
      </c>
      <c r="AZ17" s="337">
        <v>33.1</v>
      </c>
      <c r="BA17" s="337">
        <v>35</v>
      </c>
      <c r="BB17" s="338">
        <v>37.6</v>
      </c>
      <c r="BC17" s="337">
        <v>38.400000000000006</v>
      </c>
      <c r="BD17" s="337">
        <v>40.300000000000004</v>
      </c>
      <c r="BE17" s="337">
        <v>40.6</v>
      </c>
      <c r="BF17" s="337">
        <v>43.2</v>
      </c>
    </row>
    <row r="18" spans="1:58" s="534" customFormat="1" ht="11.25">
      <c r="A18" s="415" t="s">
        <v>219</v>
      </c>
      <c r="B18" s="415" t="s">
        <v>412</v>
      </c>
      <c r="C18" s="425">
        <v>0</v>
      </c>
      <c r="D18" s="337">
        <v>0</v>
      </c>
      <c r="E18" s="337">
        <v>0</v>
      </c>
      <c r="F18" s="337">
        <v>0</v>
      </c>
      <c r="G18" s="425">
        <v>0</v>
      </c>
      <c r="H18" s="337">
        <v>14.5</v>
      </c>
      <c r="I18" s="337">
        <v>4.4000000000000004</v>
      </c>
      <c r="J18" s="338">
        <v>4.7</v>
      </c>
      <c r="K18" s="425">
        <v>1.9</v>
      </c>
      <c r="L18" s="337">
        <v>2.4</v>
      </c>
      <c r="M18" s="337">
        <v>0.2</v>
      </c>
      <c r="N18" s="338">
        <v>0.4</v>
      </c>
      <c r="O18" s="425">
        <v>0.4</v>
      </c>
      <c r="P18" s="337">
        <v>1.9</v>
      </c>
      <c r="Q18" s="337">
        <v>0.1</v>
      </c>
      <c r="R18" s="338">
        <v>0.1</v>
      </c>
      <c r="S18" s="425">
        <v>4.3</v>
      </c>
      <c r="T18" s="337">
        <v>2.9</v>
      </c>
      <c r="U18" s="337">
        <v>0.2</v>
      </c>
      <c r="V18" s="338">
        <v>3.4</v>
      </c>
      <c r="W18" s="425">
        <v>1.1000000000000001</v>
      </c>
      <c r="X18" s="337">
        <v>0</v>
      </c>
      <c r="Y18" s="337">
        <v>0</v>
      </c>
      <c r="Z18" s="338">
        <v>0.4</v>
      </c>
      <c r="AA18" s="337">
        <v>0</v>
      </c>
      <c r="AB18" s="337">
        <v>0</v>
      </c>
      <c r="AC18" s="337">
        <v>0</v>
      </c>
      <c r="AD18" s="338">
        <v>0</v>
      </c>
      <c r="AE18" s="337">
        <v>0</v>
      </c>
      <c r="AF18" s="337">
        <v>0</v>
      </c>
      <c r="AG18" s="337">
        <v>0</v>
      </c>
      <c r="AH18" s="338">
        <v>0</v>
      </c>
      <c r="AI18" s="337">
        <v>0</v>
      </c>
      <c r="AJ18" s="337">
        <v>0</v>
      </c>
      <c r="AK18" s="337">
        <v>0</v>
      </c>
      <c r="AL18" s="338">
        <v>0</v>
      </c>
      <c r="AM18" s="425">
        <v>0</v>
      </c>
      <c r="AN18" s="337">
        <v>0</v>
      </c>
      <c r="AO18" s="337">
        <v>0</v>
      </c>
      <c r="AP18" s="338">
        <v>0</v>
      </c>
      <c r="AQ18" s="337">
        <v>0</v>
      </c>
      <c r="AR18" s="337">
        <v>0</v>
      </c>
      <c r="AS18" s="337">
        <v>0</v>
      </c>
      <c r="AT18" s="338">
        <v>0</v>
      </c>
      <c r="AU18" s="337">
        <v>0</v>
      </c>
      <c r="AV18" s="337">
        <v>0</v>
      </c>
      <c r="AW18" s="337">
        <v>0</v>
      </c>
      <c r="AX18" s="338">
        <v>0</v>
      </c>
      <c r="AY18" s="337">
        <v>0</v>
      </c>
      <c r="AZ18" s="337">
        <v>0</v>
      </c>
      <c r="BA18" s="337">
        <v>0</v>
      </c>
      <c r="BB18" s="338">
        <v>0</v>
      </c>
      <c r="BC18" s="337">
        <v>0</v>
      </c>
      <c r="BD18" s="337">
        <v>0</v>
      </c>
      <c r="BE18" s="337">
        <v>0</v>
      </c>
      <c r="BF18" s="337">
        <v>0</v>
      </c>
    </row>
    <row r="19" spans="1:58" s="534" customFormat="1" ht="11.25" hidden="1" customHeight="1">
      <c r="A19" s="415"/>
      <c r="B19" s="415"/>
      <c r="C19" s="425"/>
      <c r="D19" s="337"/>
      <c r="E19" s="337"/>
      <c r="F19" s="337"/>
      <c r="G19" s="425"/>
      <c r="H19" s="337"/>
      <c r="I19" s="337"/>
      <c r="J19" s="338"/>
      <c r="K19" s="425"/>
      <c r="L19" s="337"/>
      <c r="M19" s="337"/>
      <c r="N19" s="338"/>
      <c r="O19" s="425"/>
      <c r="P19" s="337"/>
      <c r="Q19" s="337"/>
      <c r="R19" s="338"/>
      <c r="S19" s="425"/>
      <c r="T19" s="337"/>
      <c r="U19" s="337"/>
      <c r="V19" s="338"/>
      <c r="W19" s="425"/>
      <c r="X19" s="337"/>
      <c r="Y19" s="337"/>
      <c r="Z19" s="338"/>
      <c r="AA19" s="337"/>
      <c r="AB19" s="337"/>
      <c r="AC19" s="337"/>
      <c r="AD19" s="338"/>
      <c r="AE19" s="337"/>
      <c r="AF19" s="337"/>
      <c r="AG19" s="337"/>
      <c r="AH19" s="338"/>
      <c r="AI19" s="337"/>
      <c r="AJ19" s="337"/>
      <c r="AK19" s="337"/>
      <c r="AL19" s="338"/>
      <c r="AM19" s="425"/>
      <c r="AN19" s="337"/>
      <c r="AO19" s="337"/>
      <c r="AP19" s="338"/>
      <c r="AQ19" s="337"/>
      <c r="AR19" s="337"/>
      <c r="AS19" s="337"/>
      <c r="AT19" s="338"/>
      <c r="AU19" s="337"/>
      <c r="AV19" s="337"/>
      <c r="AW19" s="337"/>
      <c r="AX19" s="338"/>
      <c r="AY19" s="337"/>
      <c r="AZ19" s="337"/>
      <c r="BA19" s="337"/>
      <c r="BB19" s="338"/>
      <c r="BC19" s="337"/>
      <c r="BD19" s="337"/>
      <c r="BE19" s="337"/>
      <c r="BF19" s="337"/>
    </row>
    <row r="20" spans="1:58" s="534" customFormat="1" ht="11.25" hidden="1" customHeight="1">
      <c r="A20" s="415"/>
      <c r="B20" s="415"/>
      <c r="C20" s="425"/>
      <c r="D20" s="337"/>
      <c r="E20" s="337"/>
      <c r="F20" s="337"/>
      <c r="G20" s="425"/>
      <c r="H20" s="337"/>
      <c r="I20" s="337"/>
      <c r="J20" s="338"/>
      <c r="K20" s="425"/>
      <c r="L20" s="337"/>
      <c r="M20" s="337"/>
      <c r="N20" s="338"/>
      <c r="O20" s="425"/>
      <c r="P20" s="337"/>
      <c r="Q20" s="337"/>
      <c r="R20" s="338"/>
      <c r="S20" s="425"/>
      <c r="T20" s="337"/>
      <c r="U20" s="337"/>
      <c r="V20" s="338"/>
      <c r="W20" s="425"/>
      <c r="X20" s="337"/>
      <c r="Y20" s="337"/>
      <c r="Z20" s="338"/>
      <c r="AA20" s="337"/>
      <c r="AB20" s="337"/>
      <c r="AC20" s="337"/>
      <c r="AD20" s="338"/>
      <c r="AE20" s="337"/>
      <c r="AF20" s="337"/>
      <c r="AG20" s="337"/>
      <c r="AH20" s="338"/>
      <c r="AI20" s="337"/>
      <c r="AJ20" s="337"/>
      <c r="AK20" s="337"/>
      <c r="AL20" s="338"/>
      <c r="AM20" s="425"/>
      <c r="AN20" s="337"/>
      <c r="AO20" s="337"/>
      <c r="AP20" s="338"/>
      <c r="AQ20" s="337"/>
      <c r="AR20" s="337"/>
      <c r="AS20" s="337"/>
      <c r="AT20" s="338"/>
      <c r="AU20" s="337"/>
      <c r="AV20" s="337"/>
      <c r="AW20" s="337"/>
      <c r="AX20" s="338"/>
      <c r="AY20" s="337"/>
      <c r="AZ20" s="337"/>
      <c r="BA20" s="337"/>
      <c r="BB20" s="338"/>
      <c r="BC20" s="337"/>
      <c r="BD20" s="337"/>
      <c r="BE20" s="337"/>
      <c r="BF20" s="337"/>
    </row>
    <row r="21" spans="1:58" s="534" customFormat="1" ht="11.25" hidden="1" customHeight="1">
      <c r="A21" s="415"/>
      <c r="B21" s="415"/>
      <c r="C21" s="425"/>
      <c r="D21" s="337"/>
      <c r="E21" s="337"/>
      <c r="F21" s="337"/>
      <c r="G21" s="425"/>
      <c r="H21" s="337"/>
      <c r="I21" s="337"/>
      <c r="J21" s="338"/>
      <c r="K21" s="425"/>
      <c r="L21" s="337"/>
      <c r="M21" s="337"/>
      <c r="N21" s="338"/>
      <c r="O21" s="425"/>
      <c r="P21" s="337"/>
      <c r="Q21" s="337"/>
      <c r="R21" s="338"/>
      <c r="S21" s="425"/>
      <c r="T21" s="337"/>
      <c r="U21" s="337"/>
      <c r="V21" s="338"/>
      <c r="W21" s="425"/>
      <c r="X21" s="337"/>
      <c r="Y21" s="337"/>
      <c r="Z21" s="338"/>
      <c r="AA21" s="337"/>
      <c r="AB21" s="337"/>
      <c r="AC21" s="337"/>
      <c r="AD21" s="338"/>
      <c r="AE21" s="337"/>
      <c r="AF21" s="337"/>
      <c r="AG21" s="337"/>
      <c r="AH21" s="338"/>
      <c r="AI21" s="337"/>
      <c r="AJ21" s="337"/>
      <c r="AK21" s="337"/>
      <c r="AL21" s="338"/>
      <c r="AM21" s="425"/>
      <c r="AN21" s="337"/>
      <c r="AO21" s="337"/>
      <c r="AP21" s="338"/>
      <c r="AQ21" s="337"/>
      <c r="AR21" s="337"/>
      <c r="AS21" s="337"/>
      <c r="AT21" s="338"/>
      <c r="AU21" s="337"/>
      <c r="AV21" s="337"/>
      <c r="AW21" s="337"/>
      <c r="AX21" s="338"/>
      <c r="AY21" s="337"/>
      <c r="AZ21" s="337"/>
      <c r="BA21" s="337"/>
      <c r="BB21" s="338"/>
      <c r="BC21" s="337"/>
      <c r="BD21" s="337"/>
      <c r="BE21" s="337"/>
      <c r="BF21" s="337"/>
    </row>
    <row r="22" spans="1:58" s="424" customFormat="1" ht="11.25">
      <c r="A22" s="532" t="s">
        <v>208</v>
      </c>
      <c r="B22" s="532" t="s">
        <v>50</v>
      </c>
      <c r="C22" s="425">
        <v>1.3</v>
      </c>
      <c r="D22" s="337">
        <v>3.6</v>
      </c>
      <c r="E22" s="337">
        <f>4.4-0.1</f>
        <v>4.3000000000000007</v>
      </c>
      <c r="F22" s="337">
        <v>1.5</v>
      </c>
      <c r="G22" s="425">
        <v>1.9</v>
      </c>
      <c r="H22" s="337">
        <v>7.8000000000000007</v>
      </c>
      <c r="I22" s="337">
        <v>5.2</v>
      </c>
      <c r="J22" s="338">
        <v>3.6999999999999997</v>
      </c>
      <c r="K22" s="425">
        <v>3.9</v>
      </c>
      <c r="L22" s="337">
        <v>9.1</v>
      </c>
      <c r="M22" s="337">
        <v>6.9</v>
      </c>
      <c r="N22" s="338">
        <v>3</v>
      </c>
      <c r="O22" s="425">
        <v>5.8</v>
      </c>
      <c r="P22" s="337">
        <v>3.9</v>
      </c>
      <c r="Q22" s="337">
        <v>8.1999999999999993</v>
      </c>
      <c r="R22" s="338">
        <v>0.7</v>
      </c>
      <c r="S22" s="425">
        <v>4.5999999999999996</v>
      </c>
      <c r="T22" s="337">
        <v>4.4000000000000004</v>
      </c>
      <c r="U22" s="337">
        <v>5.7</v>
      </c>
      <c r="V22" s="338">
        <v>4.7</v>
      </c>
      <c r="W22" s="425">
        <f>3.8-0.4</f>
        <v>3.4</v>
      </c>
      <c r="X22" s="337">
        <f>7.2-0.3+1.2-0.8</f>
        <v>7.3</v>
      </c>
      <c r="Y22" s="337">
        <f>5.1</f>
        <v>5.0999999999999996</v>
      </c>
      <c r="Z22" s="338">
        <f>5.3</f>
        <v>5.3</v>
      </c>
      <c r="AA22" s="337">
        <f>5.8-1.8</f>
        <v>4</v>
      </c>
      <c r="AB22" s="337">
        <v>2.6</v>
      </c>
      <c r="AC22" s="337">
        <v>3.2</v>
      </c>
      <c r="AD22" s="338">
        <v>6.3</v>
      </c>
      <c r="AE22" s="337">
        <v>3.5</v>
      </c>
      <c r="AF22" s="337">
        <v>8</v>
      </c>
      <c r="AG22" s="337">
        <v>9.5</v>
      </c>
      <c r="AH22" s="338">
        <v>6.2</v>
      </c>
      <c r="AI22" s="337">
        <f>5.2-1</f>
        <v>4.2</v>
      </c>
      <c r="AJ22" s="337">
        <v>5.3</v>
      </c>
      <c r="AK22" s="337">
        <v>9.6999999999999993</v>
      </c>
      <c r="AL22" s="338">
        <v>13.9</v>
      </c>
      <c r="AM22" s="425">
        <f>10.1-1.4</f>
        <v>8.6999999999999993</v>
      </c>
      <c r="AN22" s="337">
        <f>9.3</f>
        <v>9.3000000000000007</v>
      </c>
      <c r="AO22" s="337">
        <f>11.5</f>
        <v>11.5</v>
      </c>
      <c r="AP22" s="338">
        <v>12.4</v>
      </c>
      <c r="AQ22" s="337">
        <v>5.6</v>
      </c>
      <c r="AR22" s="337">
        <v>6.9</v>
      </c>
      <c r="AS22" s="337">
        <v>6.6999999999999993</v>
      </c>
      <c r="AT22" s="338">
        <v>13.8</v>
      </c>
      <c r="AU22" s="337">
        <v>10.6</v>
      </c>
      <c r="AV22" s="337">
        <v>8.5</v>
      </c>
      <c r="AW22" s="337">
        <v>7.5</v>
      </c>
      <c r="AX22" s="338">
        <v>17.8</v>
      </c>
      <c r="AY22" s="337">
        <v>7.9999999999999991</v>
      </c>
      <c r="AZ22" s="337">
        <v>11.8</v>
      </c>
      <c r="BA22" s="337">
        <v>7.7000000000000011</v>
      </c>
      <c r="BB22" s="338">
        <v>13.399999999999999</v>
      </c>
      <c r="BC22" s="337">
        <v>6.7</v>
      </c>
      <c r="BD22" s="337">
        <v>8.5</v>
      </c>
      <c r="BE22" s="337">
        <v>10.100000000000001</v>
      </c>
      <c r="BF22" s="337">
        <v>14.9</v>
      </c>
    </row>
    <row r="23" spans="1:58" s="534" customFormat="1" ht="11.25">
      <c r="A23" s="530" t="s">
        <v>390</v>
      </c>
      <c r="B23" s="530" t="s">
        <v>48</v>
      </c>
      <c r="C23" s="435">
        <f t="shared" ref="C23:AP23" si="4">SUM(C6:C22)</f>
        <v>239</v>
      </c>
      <c r="D23" s="436">
        <f t="shared" si="4"/>
        <v>248.50000000000003</v>
      </c>
      <c r="E23" s="436">
        <f t="shared" si="4"/>
        <v>251.79999999999995</v>
      </c>
      <c r="F23" s="436">
        <f t="shared" si="4"/>
        <v>241.49999999999997</v>
      </c>
      <c r="G23" s="435">
        <f t="shared" si="4"/>
        <v>228.79999999999995</v>
      </c>
      <c r="H23" s="436">
        <f t="shared" si="4"/>
        <v>235.70000000000002</v>
      </c>
      <c r="I23" s="436">
        <f t="shared" si="4"/>
        <v>244.7</v>
      </c>
      <c r="J23" s="437">
        <f t="shared" si="4"/>
        <v>268.49999999999994</v>
      </c>
      <c r="K23" s="435">
        <f t="shared" si="4"/>
        <v>255.99999999999997</v>
      </c>
      <c r="L23" s="436">
        <f t="shared" si="4"/>
        <v>274.60000000000002</v>
      </c>
      <c r="M23" s="436">
        <f t="shared" si="4"/>
        <v>278</v>
      </c>
      <c r="N23" s="437">
        <f t="shared" si="4"/>
        <v>275.5</v>
      </c>
      <c r="O23" s="435">
        <f t="shared" si="4"/>
        <v>264</v>
      </c>
      <c r="P23" s="436">
        <f t="shared" si="4"/>
        <v>277.49999999999994</v>
      </c>
      <c r="Q23" s="436">
        <f t="shared" si="4"/>
        <v>286.8</v>
      </c>
      <c r="R23" s="437">
        <f t="shared" si="4"/>
        <v>287.79999999999995</v>
      </c>
      <c r="S23" s="435">
        <f t="shared" si="4"/>
        <v>285.60000000000002</v>
      </c>
      <c r="T23" s="436">
        <f t="shared" si="4"/>
        <v>294.99999999999994</v>
      </c>
      <c r="U23" s="436">
        <f t="shared" si="4"/>
        <v>297.19999999999993</v>
      </c>
      <c r="V23" s="437">
        <f t="shared" si="4"/>
        <v>289.89999999999992</v>
      </c>
      <c r="W23" s="435">
        <f t="shared" si="4"/>
        <v>279.7</v>
      </c>
      <c r="X23" s="436">
        <f t="shared" si="4"/>
        <v>284.30000000000007</v>
      </c>
      <c r="Y23" s="436">
        <f t="shared" si="4"/>
        <v>282.70000000000005</v>
      </c>
      <c r="Z23" s="437">
        <f t="shared" si="4"/>
        <v>290.7</v>
      </c>
      <c r="AA23" s="436">
        <f t="shared" si="4"/>
        <v>270.60000000000002</v>
      </c>
      <c r="AB23" s="436">
        <f t="shared" si="4"/>
        <v>282.8</v>
      </c>
      <c r="AC23" s="436">
        <f t="shared" si="4"/>
        <v>265.70000000000005</v>
      </c>
      <c r="AD23" s="437">
        <f t="shared" si="4"/>
        <v>289.60000000000002</v>
      </c>
      <c r="AE23" s="436">
        <f t="shared" si="4"/>
        <v>296.49999999999994</v>
      </c>
      <c r="AF23" s="436">
        <f t="shared" si="4"/>
        <v>305.29999999999995</v>
      </c>
      <c r="AG23" s="436">
        <f t="shared" si="4"/>
        <v>285.50000000000006</v>
      </c>
      <c r="AH23" s="437">
        <f t="shared" si="4"/>
        <v>279.7</v>
      </c>
      <c r="AI23" s="436">
        <f t="shared" si="4"/>
        <v>275.7</v>
      </c>
      <c r="AJ23" s="436">
        <f t="shared" si="4"/>
        <v>291</v>
      </c>
      <c r="AK23" s="436">
        <f t="shared" si="4"/>
        <v>279.49999999999994</v>
      </c>
      <c r="AL23" s="437">
        <f t="shared" si="4"/>
        <v>286.29999999999995</v>
      </c>
      <c r="AM23" s="436">
        <f t="shared" si="4"/>
        <v>283.90000000000003</v>
      </c>
      <c r="AN23" s="436">
        <f t="shared" si="4"/>
        <v>294.40000000000003</v>
      </c>
      <c r="AO23" s="436">
        <f t="shared" si="4"/>
        <v>302.8</v>
      </c>
      <c r="AP23" s="437">
        <f t="shared" si="4"/>
        <v>320.20000000000005</v>
      </c>
      <c r="AQ23" s="436">
        <f t="shared" ref="AQ23:BB23" si="5">SUM(AQ6:AQ8,AQ11:AQ22)</f>
        <v>323.2</v>
      </c>
      <c r="AR23" s="436">
        <f t="shared" si="5"/>
        <v>327.49999999999994</v>
      </c>
      <c r="AS23" s="436">
        <f t="shared" si="5"/>
        <v>343.29999999999995</v>
      </c>
      <c r="AT23" s="437">
        <f t="shared" si="5"/>
        <v>349.00000000000006</v>
      </c>
      <c r="AU23" s="436">
        <f t="shared" si="5"/>
        <v>350.80000000000013</v>
      </c>
      <c r="AV23" s="436">
        <f t="shared" si="5"/>
        <v>381.50000000000006</v>
      </c>
      <c r="AW23" s="436">
        <f t="shared" si="5"/>
        <v>355.40000000000003</v>
      </c>
      <c r="AX23" s="437">
        <f t="shared" si="5"/>
        <v>372.60000000000008</v>
      </c>
      <c r="AY23" s="436">
        <f t="shared" si="5"/>
        <v>358.20000000000005</v>
      </c>
      <c r="AZ23" s="436">
        <f t="shared" si="5"/>
        <v>397.6</v>
      </c>
      <c r="BA23" s="436">
        <f t="shared" si="5"/>
        <v>377.5</v>
      </c>
      <c r="BB23" s="437">
        <f t="shared" si="5"/>
        <v>386.1</v>
      </c>
      <c r="BC23" s="436">
        <f t="shared" ref="BC23" si="6">SUM(BC6:BC8,BC11:BC22)</f>
        <v>404.7</v>
      </c>
      <c r="BD23" s="436">
        <f t="shared" ref="BD23:BE23" si="7">SUM(BD6:BD8,BD11:BD22)</f>
        <v>391.60000000000008</v>
      </c>
      <c r="BE23" s="436">
        <f t="shared" si="7"/>
        <v>445</v>
      </c>
      <c r="BF23" s="436">
        <f t="shared" ref="BF23" si="8">SUM(BF6:BF8,BF11:BF22)</f>
        <v>487.78999999999996</v>
      </c>
    </row>
    <row r="24" spans="1:58" s="534" customFormat="1" ht="11.25">
      <c r="A24" s="532"/>
      <c r="B24" s="532"/>
      <c r="C24" s="425"/>
      <c r="D24" s="337"/>
      <c r="E24" s="337"/>
      <c r="F24" s="337"/>
      <c r="G24" s="425"/>
      <c r="H24" s="337"/>
      <c r="I24" s="337"/>
      <c r="J24" s="338"/>
      <c r="K24" s="425"/>
      <c r="L24" s="337"/>
      <c r="M24" s="337"/>
      <c r="N24" s="338"/>
      <c r="O24" s="425"/>
      <c r="P24" s="337"/>
      <c r="Q24" s="337"/>
      <c r="R24" s="338"/>
      <c r="S24" s="425"/>
      <c r="T24" s="337"/>
      <c r="U24" s="337"/>
      <c r="V24" s="338"/>
      <c r="W24" s="425"/>
      <c r="X24" s="337"/>
      <c r="Y24" s="337"/>
      <c r="Z24" s="338"/>
      <c r="AA24" s="337"/>
      <c r="AB24" s="337"/>
      <c r="AC24" s="337"/>
      <c r="AD24" s="338"/>
      <c r="AE24" s="337"/>
      <c r="AF24" s="337"/>
      <c r="AG24" s="337"/>
      <c r="AH24" s="338"/>
      <c r="AI24" s="337"/>
      <c r="AJ24" s="337"/>
      <c r="AK24" s="337"/>
      <c r="AL24" s="338"/>
      <c r="AM24" s="435"/>
      <c r="AN24" s="337"/>
      <c r="AO24" s="337"/>
      <c r="AP24" s="338"/>
      <c r="AQ24" s="337"/>
      <c r="AR24" s="337"/>
      <c r="AS24" s="337"/>
      <c r="AT24" s="338"/>
      <c r="AU24" s="337"/>
      <c r="AV24" s="337"/>
      <c r="AW24" s="337"/>
      <c r="AX24" s="338"/>
      <c r="AY24" s="337"/>
      <c r="AZ24" s="337"/>
      <c r="BA24" s="337"/>
      <c r="BB24" s="338"/>
      <c r="BC24" s="337"/>
      <c r="BD24" s="337"/>
      <c r="BE24" s="337"/>
      <c r="BF24" s="337"/>
    </row>
    <row r="25" spans="1:58" s="534" customFormat="1" ht="11.25">
      <c r="A25" s="530" t="s">
        <v>503</v>
      </c>
      <c r="B25" s="530" t="s">
        <v>51</v>
      </c>
      <c r="C25" s="435">
        <f>16.7-1</f>
        <v>15.7</v>
      </c>
      <c r="D25" s="436">
        <f>15.2-1</f>
        <v>14.2</v>
      </c>
      <c r="E25" s="436">
        <f>21.1-1</f>
        <v>20.100000000000001</v>
      </c>
      <c r="F25" s="436">
        <f>29-1</f>
        <v>28</v>
      </c>
      <c r="G25" s="435">
        <f>22.1-1.2</f>
        <v>20.900000000000002</v>
      </c>
      <c r="H25" s="436">
        <f>19.9-1.2</f>
        <v>18.7</v>
      </c>
      <c r="I25" s="436">
        <f>16.4-1.2</f>
        <v>15.2</v>
      </c>
      <c r="J25" s="437">
        <f>29.6-1.2</f>
        <v>28.400000000000002</v>
      </c>
      <c r="K25" s="435">
        <f>22.1-4.1-0.1</f>
        <v>17.899999999999999</v>
      </c>
      <c r="L25" s="436">
        <f>25.4-4.1-0.7</f>
        <v>20.599999999999998</v>
      </c>
      <c r="M25" s="436">
        <f>25-4.1</f>
        <v>20.9</v>
      </c>
      <c r="N25" s="437">
        <f>48.2-4.1-0.2</f>
        <v>43.9</v>
      </c>
      <c r="O25" s="435">
        <f>35.6-3.9-0.1</f>
        <v>31.6</v>
      </c>
      <c r="P25" s="436">
        <f>30.7-3.9-0.1</f>
        <v>26.7</v>
      </c>
      <c r="Q25" s="436">
        <f>31.6-3.9-0.3-0.1</f>
        <v>27.3</v>
      </c>
      <c r="R25" s="437">
        <f>31.9-3.9-0.2-0.2</f>
        <v>27.6</v>
      </c>
      <c r="S25" s="435">
        <f>34.5-9.1-0.1-0.2</f>
        <v>25.099999999999998</v>
      </c>
      <c r="T25" s="436">
        <f>37.3-9.1-0.5-0.2</f>
        <v>27.499999999999996</v>
      </c>
      <c r="U25" s="436">
        <f>36.3-9.1-0.3-0.2</f>
        <v>26.699999999999996</v>
      </c>
      <c r="V25" s="437">
        <f>40.8-9.1-0.7-0.2</f>
        <v>30.799999999999997</v>
      </c>
      <c r="W25" s="435">
        <f>33.7-11-0.4-0.3-0.3</f>
        <v>21.700000000000003</v>
      </c>
      <c r="X25" s="436">
        <f>35-11-0.4-0.4-0.3</f>
        <v>22.900000000000002</v>
      </c>
      <c r="Y25" s="436">
        <f>32.6-11-0.4-0.4-0.3</f>
        <v>20.500000000000004</v>
      </c>
      <c r="Z25" s="437">
        <f>36.9-11-1.6-0.3</f>
        <v>23.999999999999996</v>
      </c>
      <c r="AA25" s="436">
        <f>31.5-11.3-0.3-0.1-0.3</f>
        <v>19.499999999999996</v>
      </c>
      <c r="AB25" s="436">
        <f>33.8-11.4-0.2-0.1-0.3</f>
        <v>21.799999999999997</v>
      </c>
      <c r="AC25" s="436">
        <f>33.6-11.3-0.3-1-0.3</f>
        <v>20.7</v>
      </c>
      <c r="AD25" s="437">
        <f>38.7-11.3-0.5-1.8-0.3</f>
        <v>24.8</v>
      </c>
      <c r="AE25" s="436">
        <f>21.6-0.9-0.3</f>
        <v>20.400000000000002</v>
      </c>
      <c r="AF25" s="436">
        <f>26.2-0.2-0.3</f>
        <v>25.7</v>
      </c>
      <c r="AG25" s="436">
        <f>28.1-0.6-0.3</f>
        <v>27.2</v>
      </c>
      <c r="AH25" s="437">
        <f>31.1-0.3</f>
        <v>30.8</v>
      </c>
      <c r="AI25" s="436">
        <f>27-0.3-1</f>
        <v>25.7</v>
      </c>
      <c r="AJ25" s="436">
        <f>27.8-0.3</f>
        <v>27.5</v>
      </c>
      <c r="AK25" s="436">
        <f>30.9-0.3</f>
        <v>30.599999999999998</v>
      </c>
      <c r="AL25" s="437">
        <f>31.8-0.3</f>
        <v>31.5</v>
      </c>
      <c r="AM25" s="436">
        <f>31.7-0.3-1.4</f>
        <v>30</v>
      </c>
      <c r="AN25" s="436">
        <f>36.6-0.3</f>
        <v>36.300000000000004</v>
      </c>
      <c r="AO25" s="436">
        <f>33.8-0.3</f>
        <v>33.5</v>
      </c>
      <c r="AP25" s="437">
        <v>36.700000000000003</v>
      </c>
      <c r="AQ25" s="436">
        <v>32.399999999999991</v>
      </c>
      <c r="AR25" s="436">
        <v>34.399999999999991</v>
      </c>
      <c r="AS25" s="436">
        <v>33.4</v>
      </c>
      <c r="AT25" s="437">
        <v>46.79999999999999</v>
      </c>
      <c r="AU25" s="436">
        <v>32.700000000000003</v>
      </c>
      <c r="AV25" s="436">
        <v>41.9</v>
      </c>
      <c r="AW25" s="436">
        <v>38.900000000000006</v>
      </c>
      <c r="AX25" s="437">
        <v>41.9</v>
      </c>
      <c r="AY25" s="436">
        <v>40.400000000000006</v>
      </c>
      <c r="AZ25" s="436">
        <v>43.900000000000006</v>
      </c>
      <c r="BA25" s="436">
        <v>44.900000000000006</v>
      </c>
      <c r="BB25" s="437">
        <v>49.7</v>
      </c>
      <c r="BC25" s="436">
        <v>45.599999999999994</v>
      </c>
      <c r="BD25" s="436">
        <v>47.599999999999994</v>
      </c>
      <c r="BE25" s="436">
        <v>51.4</v>
      </c>
      <c r="BF25" s="436">
        <v>56.09</v>
      </c>
    </row>
    <row r="26" spans="1:58" s="17" customFormat="1" ht="11.25">
      <c r="A26" s="56"/>
      <c r="B26" s="56"/>
      <c r="C26" s="27"/>
      <c r="D26" s="28"/>
      <c r="E26" s="28"/>
      <c r="F26" s="28"/>
      <c r="G26" s="27"/>
      <c r="H26" s="28"/>
      <c r="I26" s="28"/>
      <c r="J26" s="29"/>
      <c r="K26" s="27"/>
      <c r="L26" s="28"/>
      <c r="M26" s="28"/>
      <c r="N26" s="29"/>
      <c r="O26" s="27"/>
      <c r="P26" s="28"/>
      <c r="Q26" s="28"/>
      <c r="R26" s="29"/>
      <c r="S26" s="27"/>
      <c r="T26" s="28"/>
      <c r="U26" s="28"/>
      <c r="V26" s="29"/>
      <c r="W26" s="27"/>
      <c r="X26" s="28"/>
      <c r="Y26" s="28"/>
      <c r="Z26" s="29"/>
      <c r="AA26" s="28"/>
      <c r="AB26" s="28"/>
      <c r="AC26" s="28"/>
      <c r="AD26" s="29"/>
      <c r="AE26" s="28"/>
      <c r="AF26" s="28"/>
      <c r="AG26" s="28"/>
      <c r="AH26" s="29"/>
      <c r="AI26" s="28"/>
      <c r="AJ26" s="28"/>
      <c r="AK26" s="28"/>
      <c r="AL26" s="29"/>
      <c r="AM26" s="28"/>
      <c r="AN26" s="28"/>
      <c r="AO26" s="28"/>
      <c r="AP26" s="29"/>
      <c r="AQ26" s="28"/>
      <c r="AR26" s="28"/>
      <c r="AS26" s="28"/>
      <c r="AT26" s="29"/>
      <c r="AU26" s="28"/>
      <c r="AV26" s="28"/>
      <c r="AW26" s="28"/>
      <c r="AX26" s="29"/>
      <c r="AY26" s="28"/>
      <c r="AZ26" s="28"/>
      <c r="BA26" s="28"/>
      <c r="BB26" s="29"/>
      <c r="BC26" s="28"/>
      <c r="BD26" s="28"/>
      <c r="BE26" s="28"/>
      <c r="BF26" s="28"/>
    </row>
    <row r="27" spans="1:58" s="176" customFormat="1" ht="11.25">
      <c r="A27" s="57" t="s">
        <v>160</v>
      </c>
      <c r="B27" s="57" t="s">
        <v>46</v>
      </c>
      <c r="C27" s="37">
        <f>C23-C25</f>
        <v>223.3</v>
      </c>
      <c r="D27" s="38">
        <f t="shared" ref="D27:W27" si="9">D23-D25</f>
        <v>234.30000000000004</v>
      </c>
      <c r="E27" s="38">
        <f>E23-E25</f>
        <v>231.69999999999996</v>
      </c>
      <c r="F27" s="38">
        <f t="shared" si="9"/>
        <v>213.49999999999997</v>
      </c>
      <c r="G27" s="37">
        <f t="shared" si="9"/>
        <v>207.89999999999995</v>
      </c>
      <c r="H27" s="38">
        <f t="shared" si="9"/>
        <v>217.00000000000003</v>
      </c>
      <c r="I27" s="38">
        <f t="shared" si="9"/>
        <v>229.5</v>
      </c>
      <c r="J27" s="39">
        <f t="shared" si="9"/>
        <v>240.09999999999994</v>
      </c>
      <c r="K27" s="37">
        <f t="shared" si="9"/>
        <v>238.09999999999997</v>
      </c>
      <c r="L27" s="38">
        <f t="shared" si="9"/>
        <v>254.00000000000003</v>
      </c>
      <c r="M27" s="38">
        <f t="shared" si="9"/>
        <v>257.10000000000002</v>
      </c>
      <c r="N27" s="39">
        <f t="shared" si="9"/>
        <v>231.6</v>
      </c>
      <c r="O27" s="37">
        <f t="shared" si="9"/>
        <v>232.4</v>
      </c>
      <c r="P27" s="38">
        <f t="shared" si="9"/>
        <v>250.79999999999995</v>
      </c>
      <c r="Q27" s="38">
        <f t="shared" si="9"/>
        <v>259.5</v>
      </c>
      <c r="R27" s="39">
        <f t="shared" si="9"/>
        <v>260.19999999999993</v>
      </c>
      <c r="S27" s="37">
        <f t="shared" si="9"/>
        <v>260.5</v>
      </c>
      <c r="T27" s="38">
        <f t="shared" si="9"/>
        <v>267.49999999999994</v>
      </c>
      <c r="U27" s="38">
        <f t="shared" si="9"/>
        <v>270.49999999999994</v>
      </c>
      <c r="V27" s="39">
        <f t="shared" si="9"/>
        <v>259.09999999999991</v>
      </c>
      <c r="W27" s="37">
        <f t="shared" si="9"/>
        <v>258</v>
      </c>
      <c r="X27" s="38">
        <f t="shared" ref="X27:AI27" si="10">X23-X25</f>
        <v>261.40000000000009</v>
      </c>
      <c r="Y27" s="38">
        <f t="shared" si="10"/>
        <v>262.20000000000005</v>
      </c>
      <c r="Z27" s="39">
        <f t="shared" si="10"/>
        <v>266.7</v>
      </c>
      <c r="AA27" s="37">
        <f t="shared" si="10"/>
        <v>251.10000000000002</v>
      </c>
      <c r="AB27" s="38">
        <f t="shared" si="10"/>
        <v>261</v>
      </c>
      <c r="AC27" s="38">
        <f t="shared" si="10"/>
        <v>245.00000000000006</v>
      </c>
      <c r="AD27" s="39">
        <f t="shared" si="10"/>
        <v>264.8</v>
      </c>
      <c r="AE27" s="37">
        <f t="shared" si="10"/>
        <v>276.09999999999997</v>
      </c>
      <c r="AF27" s="38">
        <f t="shared" si="10"/>
        <v>279.59999999999997</v>
      </c>
      <c r="AG27" s="38">
        <f t="shared" si="10"/>
        <v>258.30000000000007</v>
      </c>
      <c r="AH27" s="39">
        <f t="shared" si="10"/>
        <v>248.89999999999998</v>
      </c>
      <c r="AI27" s="37">
        <f t="shared" si="10"/>
        <v>250</v>
      </c>
      <c r="AJ27" s="38">
        <f t="shared" ref="AJ27:AV27" si="11">AJ23-AJ25</f>
        <v>263.5</v>
      </c>
      <c r="AK27" s="38">
        <f t="shared" si="11"/>
        <v>248.89999999999995</v>
      </c>
      <c r="AL27" s="39">
        <f t="shared" si="11"/>
        <v>254.79999999999995</v>
      </c>
      <c r="AM27" s="38">
        <f t="shared" si="11"/>
        <v>253.90000000000003</v>
      </c>
      <c r="AN27" s="38">
        <f t="shared" si="11"/>
        <v>258.10000000000002</v>
      </c>
      <c r="AO27" s="38">
        <f t="shared" si="11"/>
        <v>269.3</v>
      </c>
      <c r="AP27" s="39">
        <f t="shared" si="11"/>
        <v>283.50000000000006</v>
      </c>
      <c r="AQ27" s="37">
        <f t="shared" si="11"/>
        <v>290.8</v>
      </c>
      <c r="AR27" s="38">
        <f t="shared" si="11"/>
        <v>293.09999999999997</v>
      </c>
      <c r="AS27" s="38">
        <f t="shared" si="11"/>
        <v>309.89999999999998</v>
      </c>
      <c r="AT27" s="39">
        <f t="shared" si="11"/>
        <v>302.20000000000005</v>
      </c>
      <c r="AU27" s="37">
        <f t="shared" si="11"/>
        <v>318.10000000000014</v>
      </c>
      <c r="AV27" s="38">
        <f t="shared" si="11"/>
        <v>339.60000000000008</v>
      </c>
      <c r="AW27" s="38">
        <f t="shared" ref="AW27:AY27" si="12">AW23-AW25</f>
        <v>316.5</v>
      </c>
      <c r="AX27" s="39">
        <f t="shared" si="12"/>
        <v>330.7000000000001</v>
      </c>
      <c r="AY27" s="37">
        <f t="shared" si="12"/>
        <v>317.80000000000007</v>
      </c>
      <c r="AZ27" s="38">
        <f t="shared" ref="AZ27:BA27" si="13">AZ23-AZ25</f>
        <v>353.70000000000005</v>
      </c>
      <c r="BA27" s="38">
        <f t="shared" si="13"/>
        <v>332.6</v>
      </c>
      <c r="BB27" s="39">
        <f t="shared" ref="BB27:BC27" si="14">BB23-BB25</f>
        <v>336.40000000000003</v>
      </c>
      <c r="BC27" s="37">
        <f t="shared" si="14"/>
        <v>359.1</v>
      </c>
      <c r="BD27" s="38">
        <f t="shared" ref="BD27:BF27" si="15">BD23-BD25</f>
        <v>344.00000000000011</v>
      </c>
      <c r="BE27" s="38">
        <f t="shared" si="15"/>
        <v>393.6</v>
      </c>
      <c r="BF27" s="38">
        <f t="shared" si="15"/>
        <v>431.69999999999993</v>
      </c>
    </row>
    <row r="28" spans="1:58">
      <c r="A28" s="13"/>
      <c r="B28" s="13"/>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c r="AZ28" s="19"/>
      <c r="BA28" s="19"/>
      <c r="BB28" s="19"/>
      <c r="BD28" s="19"/>
      <c r="BE28" s="19"/>
      <c r="BF28" s="19"/>
    </row>
    <row r="29" spans="1:58">
      <c r="A29" s="13"/>
      <c r="B29" s="13"/>
      <c r="AA29" s="19"/>
      <c r="AB29" s="19"/>
      <c r="AC29" s="19"/>
      <c r="AD29" s="19"/>
      <c r="AE29" s="19"/>
      <c r="AF29" s="19"/>
      <c r="AG29" s="19"/>
      <c r="AH29" s="19"/>
      <c r="AI29" s="19"/>
      <c r="AJ29" s="19"/>
      <c r="AK29" s="19"/>
      <c r="AL29" s="19"/>
      <c r="AM29" s="19"/>
      <c r="AN29" s="19"/>
      <c r="AO29" s="19"/>
      <c r="AP29" s="19"/>
      <c r="AQ29" s="19"/>
      <c r="AR29" s="19"/>
      <c r="AS29" s="19"/>
      <c r="AT29" s="19"/>
      <c r="AU29" s="19"/>
      <c r="AV29" s="19"/>
      <c r="AW29" s="19"/>
      <c r="AX29" s="19"/>
      <c r="AZ29" s="19"/>
      <c r="BA29" s="19"/>
      <c r="BB29" s="19"/>
      <c r="BD29" s="19"/>
      <c r="BE29" s="19"/>
      <c r="BF29" s="19"/>
    </row>
    <row r="30" spans="1:58" s="17" customFormat="1" ht="11.25">
      <c r="C30" s="58"/>
      <c r="D30" s="58"/>
      <c r="E30" s="58"/>
      <c r="F30" s="58"/>
      <c r="G30" s="58"/>
      <c r="H30" s="58"/>
      <c r="I30" s="58"/>
      <c r="J30" s="58"/>
      <c r="K30" s="58"/>
      <c r="L30" s="58"/>
      <c r="M30" s="58"/>
      <c r="N30" s="58"/>
      <c r="O30" s="58"/>
      <c r="P30" s="58"/>
      <c r="Q30" s="58"/>
      <c r="R30" s="58"/>
      <c r="S30" s="58"/>
      <c r="T30" s="58"/>
      <c r="U30" s="58"/>
      <c r="V30" s="58"/>
      <c r="W30" s="58"/>
      <c r="X30" s="58"/>
      <c r="Y30" s="58"/>
      <c r="Z30" s="58"/>
      <c r="AA30" s="42"/>
      <c r="AB30" s="42"/>
      <c r="AC30" s="42"/>
      <c r="AD30" s="42"/>
      <c r="AE30" s="42"/>
      <c r="AF30" s="42"/>
      <c r="AG30" s="42"/>
      <c r="AH30" s="42"/>
      <c r="AI30" s="42"/>
      <c r="AJ30" s="42"/>
      <c r="AK30" s="42"/>
      <c r="AL30" s="42"/>
      <c r="AM30" s="42"/>
      <c r="AN30" s="42"/>
      <c r="AO30" s="42"/>
      <c r="AP30" s="42"/>
      <c r="AQ30" s="42"/>
      <c r="AR30" s="42"/>
      <c r="AS30" s="42"/>
      <c r="AT30" s="42"/>
      <c r="AU30" s="42"/>
      <c r="AV30" s="42"/>
      <c r="AW30" s="42"/>
      <c r="AX30" s="42"/>
      <c r="AZ30" s="42"/>
      <c r="BA30" s="42"/>
      <c r="BB30" s="42"/>
      <c r="BD30" s="42"/>
      <c r="BE30" s="42"/>
      <c r="BF30" s="42"/>
    </row>
    <row r="31" spans="1:58">
      <c r="A31" s="13"/>
      <c r="B31" s="13"/>
      <c r="W31" s="59"/>
      <c r="X31" s="59"/>
      <c r="Y31" s="59"/>
      <c r="Z31" s="59"/>
      <c r="AA31" s="59"/>
      <c r="AB31" s="59"/>
      <c r="AC31" s="59"/>
      <c r="AD31" s="59"/>
      <c r="AE31" s="59"/>
      <c r="AF31" s="59"/>
      <c r="AG31" s="59"/>
      <c r="AH31" s="59"/>
      <c r="AI31" s="59"/>
      <c r="AJ31" s="59"/>
      <c r="AK31" s="59"/>
      <c r="AL31" s="59"/>
      <c r="AM31" s="59"/>
      <c r="AN31" s="59"/>
      <c r="AO31" s="59"/>
      <c r="AP31" s="59"/>
      <c r="AQ31" s="59"/>
      <c r="AR31" s="59"/>
      <c r="AS31" s="59"/>
      <c r="AT31" s="59"/>
      <c r="AU31" s="59"/>
      <c r="AV31" s="59"/>
      <c r="AW31" s="59"/>
      <c r="AX31" s="59"/>
      <c r="AZ31" s="59"/>
      <c r="BA31" s="59"/>
      <c r="BB31" s="59"/>
      <c r="BD31" s="59"/>
      <c r="BE31" s="59"/>
      <c r="BF31" s="59"/>
    </row>
    <row r="32" spans="1:58">
      <c r="A32" s="13"/>
      <c r="B32" s="13"/>
    </row>
    <row r="33" spans="1:30">
      <c r="A33" s="13"/>
      <c r="B33" s="13"/>
      <c r="AA33" s="37"/>
      <c r="AB33" s="38"/>
      <c r="AC33" s="38"/>
      <c r="AD33" s="39"/>
    </row>
    <row r="34" spans="1:30">
      <c r="A34" s="13"/>
      <c r="B34" s="13"/>
      <c r="AA34" s="19"/>
      <c r="AB34" s="19"/>
      <c r="AC34" s="19"/>
      <c r="AD34" s="19"/>
    </row>
    <row r="35" spans="1:30">
      <c r="A35" s="13"/>
      <c r="B35" s="13"/>
    </row>
    <row r="36" spans="1:30">
      <c r="A36" s="13"/>
      <c r="B36" s="13"/>
    </row>
    <row r="37" spans="1:30">
      <c r="A37" s="13"/>
      <c r="B37" s="13"/>
    </row>
    <row r="38" spans="1:30">
      <c r="A38" s="13"/>
      <c r="B38" s="13"/>
    </row>
    <row r="39" spans="1:30">
      <c r="A39" s="13"/>
      <c r="B39" s="13"/>
    </row>
    <row r="40" spans="1:30">
      <c r="A40" s="13"/>
      <c r="B40" s="13"/>
    </row>
  </sheetData>
  <mergeCells count="16">
    <mergeCell ref="BC2:BF2"/>
    <mergeCell ref="AY2:BB2"/>
    <mergeCell ref="AU2:AX2"/>
    <mergeCell ref="A2:A3"/>
    <mergeCell ref="B2:B3"/>
    <mergeCell ref="C2:F2"/>
    <mergeCell ref="G2:J2"/>
    <mergeCell ref="K2:N2"/>
    <mergeCell ref="AI2:AL2"/>
    <mergeCell ref="AM2:AP2"/>
    <mergeCell ref="AQ2:AT2"/>
    <mergeCell ref="O2:R2"/>
    <mergeCell ref="AE2:AH2"/>
    <mergeCell ref="AA2:AD2"/>
    <mergeCell ref="W2:Z2"/>
    <mergeCell ref="S2:V2"/>
  </mergeCells>
  <printOptions horizontalCentered="1"/>
  <pageMargins left="0.23622047244094491" right="0.23622047244094491" top="0.74803149606299213" bottom="0.74803149606299213" header="0.31496062992125984" footer="0.31496062992125984"/>
  <pageSetup paperSize="9" scale="34" orientation="landscape" r:id="rId1"/>
  <headerFooter alignWithMargins="0">
    <oddHeader xml:space="preserve">&amp;C&amp;"Times New Roman,Kursywa"&amp;12
</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dimension ref="A1:BF41"/>
  <sheetViews>
    <sheetView showGridLines="0" view="pageBreakPreview" zoomScaleNormal="100" zoomScaleSheetLayoutView="100" zoomScalePageLayoutView="80" workbookViewId="0">
      <pane xSplit="2" ySplit="4" topLeftCell="AK5" activePane="bottomRight" state="frozen"/>
      <selection pane="topRight" activeCell="C1" sqref="C1"/>
      <selection pane="bottomLeft" activeCell="A5" sqref="A5"/>
      <selection pane="bottomRight" activeCell="BC2" sqref="BC2:BF2"/>
    </sheetView>
  </sheetViews>
  <sheetFormatPr defaultColWidth="8.85546875" defaultRowHeight="13.5" outlineLevelCol="1"/>
  <cols>
    <col min="1" max="1" width="54.140625" style="52" customWidth="1" outlineLevel="1"/>
    <col min="2" max="2" width="54.140625" style="52" bestFit="1" customWidth="1"/>
    <col min="3" max="10" width="6" style="13" customWidth="1"/>
    <col min="11" max="11" width="6.7109375" style="13" bestFit="1" customWidth="1"/>
    <col min="12" max="46" width="6" style="13" customWidth="1"/>
    <col min="47" max="47" width="6" style="63" customWidth="1"/>
    <col min="48" max="50" width="6" style="13" customWidth="1"/>
    <col min="51" max="51" width="6" style="63" customWidth="1"/>
    <col min="52" max="54" width="6" style="13" customWidth="1"/>
    <col min="55" max="55" width="6" style="63" customWidth="1"/>
    <col min="56" max="58" width="6" style="13" customWidth="1"/>
    <col min="59" max="16384" width="8.85546875" style="13"/>
  </cols>
  <sheetData>
    <row r="1" spans="1:58">
      <c r="A1" s="53" t="s">
        <v>424</v>
      </c>
      <c r="B1" s="53" t="s">
        <v>425</v>
      </c>
      <c r="X1" s="14"/>
      <c r="Y1" s="14"/>
      <c r="Z1" s="14"/>
    </row>
    <row r="2" spans="1:58">
      <c r="A2" s="639" t="s">
        <v>233</v>
      </c>
      <c r="B2" s="639" t="s">
        <v>53</v>
      </c>
      <c r="C2" s="636">
        <v>2007</v>
      </c>
      <c r="D2" s="641"/>
      <c r="E2" s="641"/>
      <c r="F2" s="641"/>
      <c r="G2" s="636">
        <v>2008</v>
      </c>
      <c r="H2" s="641"/>
      <c r="I2" s="641"/>
      <c r="J2" s="641"/>
      <c r="K2" s="636">
        <v>2009</v>
      </c>
      <c r="L2" s="641"/>
      <c r="M2" s="641"/>
      <c r="N2" s="641"/>
      <c r="O2" s="636">
        <v>2010</v>
      </c>
      <c r="P2" s="641"/>
      <c r="Q2" s="641"/>
      <c r="R2" s="641"/>
      <c r="S2" s="636">
        <v>2011</v>
      </c>
      <c r="T2" s="641"/>
      <c r="U2" s="641"/>
      <c r="V2" s="641"/>
      <c r="W2" s="636">
        <v>2012</v>
      </c>
      <c r="X2" s="641"/>
      <c r="Y2" s="641"/>
      <c r="Z2" s="642"/>
      <c r="AA2" s="636">
        <v>2013</v>
      </c>
      <c r="AB2" s="641"/>
      <c r="AC2" s="641"/>
      <c r="AD2" s="642"/>
      <c r="AE2" s="636">
        <v>2014</v>
      </c>
      <c r="AF2" s="641"/>
      <c r="AG2" s="641"/>
      <c r="AH2" s="642"/>
      <c r="AI2" s="636">
        <v>2015</v>
      </c>
      <c r="AJ2" s="641"/>
      <c r="AK2" s="641"/>
      <c r="AL2" s="642"/>
      <c r="AM2" s="636">
        <v>2016</v>
      </c>
      <c r="AN2" s="641"/>
      <c r="AO2" s="641"/>
      <c r="AP2" s="641"/>
      <c r="AQ2" s="636">
        <v>2017</v>
      </c>
      <c r="AR2" s="641"/>
      <c r="AS2" s="641"/>
      <c r="AT2" s="641"/>
      <c r="AU2" s="636">
        <v>2018</v>
      </c>
      <c r="AV2" s="637"/>
      <c r="AW2" s="637"/>
      <c r="AX2" s="652"/>
      <c r="AY2" s="636">
        <v>2019</v>
      </c>
      <c r="AZ2" s="637"/>
      <c r="BA2" s="637"/>
      <c r="BB2" s="652"/>
      <c r="BC2" s="636">
        <v>2020</v>
      </c>
      <c r="BD2" s="637"/>
      <c r="BE2" s="637"/>
      <c r="BF2" s="652"/>
    </row>
    <row r="3" spans="1:58" s="14" customFormat="1">
      <c r="A3" s="640"/>
      <c r="B3" s="640"/>
      <c r="C3" s="20" t="s">
        <v>149</v>
      </c>
      <c r="D3" s="21" t="s">
        <v>150</v>
      </c>
      <c r="E3" s="21" t="s">
        <v>151</v>
      </c>
      <c r="F3" s="21" t="s">
        <v>152</v>
      </c>
      <c r="G3" s="20" t="s">
        <v>149</v>
      </c>
      <c r="H3" s="21" t="s">
        <v>150</v>
      </c>
      <c r="I3" s="21" t="s">
        <v>151</v>
      </c>
      <c r="J3" s="21" t="s">
        <v>152</v>
      </c>
      <c r="K3" s="20" t="s">
        <v>149</v>
      </c>
      <c r="L3" s="21" t="s">
        <v>150</v>
      </c>
      <c r="M3" s="21" t="s">
        <v>151</v>
      </c>
      <c r="N3" s="21" t="s">
        <v>152</v>
      </c>
      <c r="O3" s="20" t="s">
        <v>149</v>
      </c>
      <c r="P3" s="21" t="s">
        <v>150</v>
      </c>
      <c r="Q3" s="21" t="s">
        <v>151</v>
      </c>
      <c r="R3" s="21" t="s">
        <v>152</v>
      </c>
      <c r="S3" s="20" t="s">
        <v>149</v>
      </c>
      <c r="T3" s="21" t="s">
        <v>150</v>
      </c>
      <c r="U3" s="21" t="s">
        <v>151</v>
      </c>
      <c r="V3" s="21" t="s">
        <v>152</v>
      </c>
      <c r="W3" s="20" t="s">
        <v>149</v>
      </c>
      <c r="X3" s="21" t="s">
        <v>150</v>
      </c>
      <c r="Y3" s="21" t="s">
        <v>151</v>
      </c>
      <c r="Z3" s="43" t="s">
        <v>152</v>
      </c>
      <c r="AA3" s="21" t="s">
        <v>149</v>
      </c>
      <c r="AB3" s="21" t="s">
        <v>150</v>
      </c>
      <c r="AC3" s="21" t="s">
        <v>151</v>
      </c>
      <c r="AD3" s="43" t="s">
        <v>152</v>
      </c>
      <c r="AE3" s="21" t="s">
        <v>149</v>
      </c>
      <c r="AF3" s="21" t="s">
        <v>150</v>
      </c>
      <c r="AG3" s="21" t="s">
        <v>151</v>
      </c>
      <c r="AH3" s="43" t="s">
        <v>152</v>
      </c>
      <c r="AI3" s="21" t="s">
        <v>149</v>
      </c>
      <c r="AJ3" s="21" t="s">
        <v>150</v>
      </c>
      <c r="AK3" s="21" t="s">
        <v>151</v>
      </c>
      <c r="AL3" s="43" t="s">
        <v>152</v>
      </c>
      <c r="AM3" s="21" t="s">
        <v>149</v>
      </c>
      <c r="AN3" s="21" t="s">
        <v>150</v>
      </c>
      <c r="AO3" s="21" t="s">
        <v>151</v>
      </c>
      <c r="AP3" s="21" t="s">
        <v>152</v>
      </c>
      <c r="AQ3" s="20" t="s">
        <v>149</v>
      </c>
      <c r="AR3" s="21" t="s">
        <v>150</v>
      </c>
      <c r="AS3" s="21" t="s">
        <v>151</v>
      </c>
      <c r="AT3" s="21" t="s">
        <v>152</v>
      </c>
      <c r="AU3" s="20" t="s">
        <v>149</v>
      </c>
      <c r="AV3" s="21" t="s">
        <v>150</v>
      </c>
      <c r="AW3" s="21" t="s">
        <v>151</v>
      </c>
      <c r="AX3" s="21" t="s">
        <v>152</v>
      </c>
      <c r="AY3" s="20" t="s">
        <v>149</v>
      </c>
      <c r="AZ3" s="21" t="s">
        <v>150</v>
      </c>
      <c r="BA3" s="21" t="s">
        <v>151</v>
      </c>
      <c r="BB3" s="21" t="s">
        <v>152</v>
      </c>
      <c r="BC3" s="20" t="s">
        <v>149</v>
      </c>
      <c r="BD3" s="21" t="s">
        <v>150</v>
      </c>
      <c r="BE3" s="21" t="s">
        <v>151</v>
      </c>
      <c r="BF3" s="21" t="s">
        <v>152</v>
      </c>
    </row>
    <row r="4" spans="1:58" s="172" customFormat="1" ht="12.75" customHeight="1">
      <c r="A4" s="22" t="s">
        <v>154</v>
      </c>
      <c r="B4" s="22" t="s">
        <v>11</v>
      </c>
      <c r="C4" s="108"/>
      <c r="D4" s="109"/>
      <c r="E4" s="55"/>
      <c r="F4" s="109"/>
      <c r="G4" s="108"/>
      <c r="H4" s="109"/>
      <c r="I4" s="55"/>
      <c r="J4" s="110"/>
      <c r="K4" s="108"/>
      <c r="L4" s="109"/>
      <c r="M4" s="55"/>
      <c r="N4" s="110"/>
      <c r="O4" s="108"/>
      <c r="P4" s="109"/>
      <c r="Q4" s="55"/>
      <c r="R4" s="110"/>
      <c r="S4" s="108"/>
      <c r="T4" s="109"/>
      <c r="U4" s="55"/>
      <c r="V4" s="110"/>
      <c r="W4" s="55"/>
      <c r="X4" s="55"/>
      <c r="Y4" s="55"/>
      <c r="Z4" s="177"/>
      <c r="AA4" s="55"/>
      <c r="AB4" s="55"/>
      <c r="AC4" s="55"/>
      <c r="AD4" s="177"/>
      <c r="AE4" s="55"/>
      <c r="AF4" s="55"/>
      <c r="AG4" s="55"/>
      <c r="AH4" s="177"/>
      <c r="AI4" s="55"/>
      <c r="AJ4" s="55"/>
      <c r="AK4" s="55"/>
      <c r="AL4" s="177"/>
      <c r="AM4" s="55"/>
      <c r="AN4" s="55"/>
      <c r="AO4" s="55"/>
      <c r="AP4" s="55"/>
      <c r="AQ4" s="108"/>
      <c r="AR4" s="55"/>
      <c r="AS4" s="55"/>
      <c r="AT4" s="55"/>
      <c r="AU4" s="111"/>
      <c r="AV4" s="22"/>
      <c r="AW4" s="55"/>
      <c r="AX4" s="55"/>
      <c r="AY4" s="111"/>
      <c r="AZ4" s="22"/>
      <c r="BA4" s="55"/>
      <c r="BB4" s="55"/>
      <c r="BC4" s="111"/>
      <c r="BD4" s="22"/>
      <c r="BE4" s="55"/>
      <c r="BF4" s="55"/>
    </row>
    <row r="5" spans="1:58" s="428" customFormat="1" ht="22.5">
      <c r="A5" s="509" t="s">
        <v>792</v>
      </c>
      <c r="B5" s="509" t="s">
        <v>771</v>
      </c>
      <c r="C5" s="435">
        <f t="shared" ref="C5:AU5" si="0">C6+C7</f>
        <v>30.099999999999998</v>
      </c>
      <c r="D5" s="436">
        <f t="shared" si="0"/>
        <v>40.4</v>
      </c>
      <c r="E5" s="436">
        <f t="shared" si="0"/>
        <v>42.400000000000006</v>
      </c>
      <c r="F5" s="436">
        <f t="shared" si="0"/>
        <v>49.700000000000017</v>
      </c>
      <c r="G5" s="435">
        <f t="shared" si="0"/>
        <v>37.800000000000011</v>
      </c>
      <c r="H5" s="436">
        <f t="shared" si="0"/>
        <v>91.4</v>
      </c>
      <c r="I5" s="436">
        <f t="shared" si="0"/>
        <v>17</v>
      </c>
      <c r="J5" s="437">
        <f t="shared" si="0"/>
        <v>84.200000000000045</v>
      </c>
      <c r="K5" s="435">
        <f t="shared" si="0"/>
        <v>-58.199999999999818</v>
      </c>
      <c r="L5" s="436">
        <f t="shared" si="0"/>
        <v>-46.399999999999977</v>
      </c>
      <c r="M5" s="436">
        <f t="shared" si="0"/>
        <v>-18</v>
      </c>
      <c r="N5" s="437">
        <f t="shared" si="0"/>
        <v>-60.899999999999977</v>
      </c>
      <c r="O5" s="435">
        <f t="shared" si="0"/>
        <v>-5.7999999999999829</v>
      </c>
      <c r="P5" s="436">
        <f t="shared" si="0"/>
        <v>-4</v>
      </c>
      <c r="Q5" s="436">
        <f t="shared" si="0"/>
        <v>10.199999999999989</v>
      </c>
      <c r="R5" s="437">
        <f t="shared" si="0"/>
        <v>-6.0999999999999943</v>
      </c>
      <c r="S5" s="435">
        <f t="shared" si="0"/>
        <v>17</v>
      </c>
      <c r="T5" s="436">
        <f t="shared" si="0"/>
        <v>-3.7000000000000028</v>
      </c>
      <c r="U5" s="436">
        <f t="shared" si="0"/>
        <v>-30.599999999999994</v>
      </c>
      <c r="V5" s="437">
        <f t="shared" si="0"/>
        <v>4</v>
      </c>
      <c r="W5" s="436">
        <f t="shared" si="0"/>
        <v>34.699999999999989</v>
      </c>
      <c r="X5" s="436">
        <f t="shared" si="0"/>
        <v>8.5999999999999943</v>
      </c>
      <c r="Y5" s="436">
        <f t="shared" si="0"/>
        <v>4.8000000000000043</v>
      </c>
      <c r="Z5" s="437">
        <f t="shared" si="0"/>
        <v>-6.1999999999999993</v>
      </c>
      <c r="AA5" s="436">
        <f t="shared" si="0"/>
        <v>12.900000000000006</v>
      </c>
      <c r="AB5" s="436">
        <f t="shared" si="0"/>
        <v>6.1999999999999993</v>
      </c>
      <c r="AC5" s="436">
        <f t="shared" si="0"/>
        <v>13.899999999999999</v>
      </c>
      <c r="AD5" s="437">
        <f t="shared" si="0"/>
        <v>7.5</v>
      </c>
      <c r="AE5" s="436">
        <f t="shared" si="0"/>
        <v>15</v>
      </c>
      <c r="AF5" s="436">
        <f t="shared" si="0"/>
        <v>17.799999999999997</v>
      </c>
      <c r="AG5" s="436">
        <f t="shared" si="0"/>
        <v>18.399999999999999</v>
      </c>
      <c r="AH5" s="437">
        <f t="shared" si="0"/>
        <v>8.2000000000000011</v>
      </c>
      <c r="AI5" s="436">
        <f t="shared" si="0"/>
        <v>3.7999999999999989</v>
      </c>
      <c r="AJ5" s="436">
        <f t="shared" si="0"/>
        <v>15.499999999999998</v>
      </c>
      <c r="AK5" s="436">
        <f t="shared" si="0"/>
        <v>14.600000000000001</v>
      </c>
      <c r="AL5" s="437">
        <f t="shared" si="0"/>
        <v>12</v>
      </c>
      <c r="AM5" s="436">
        <f t="shared" si="0"/>
        <v>14.200000000000003</v>
      </c>
      <c r="AN5" s="436">
        <f t="shared" si="0"/>
        <v>1.6999999999999957</v>
      </c>
      <c r="AO5" s="436">
        <f t="shared" si="0"/>
        <v>11.100000000000009</v>
      </c>
      <c r="AP5" s="437">
        <f t="shared" si="0"/>
        <v>10.600000000000009</v>
      </c>
      <c r="AQ5" s="435">
        <f t="shared" si="0"/>
        <v>23.799999999999997</v>
      </c>
      <c r="AR5" s="436">
        <f t="shared" si="0"/>
        <v>17.499999999999996</v>
      </c>
      <c r="AS5" s="436">
        <f t="shared" si="0"/>
        <v>21.6</v>
      </c>
      <c r="AT5" s="436">
        <f t="shared" si="0"/>
        <v>16</v>
      </c>
      <c r="AU5" s="405">
        <f t="shared" si="0"/>
        <v>8.3000000000000007</v>
      </c>
      <c r="AV5" s="406">
        <f>AV6+AV7</f>
        <v>7.7000000000000028</v>
      </c>
      <c r="AW5" s="436">
        <f>AW6+AW7</f>
        <v>8.3999999999999986</v>
      </c>
      <c r="AX5" s="436">
        <f>AX6+AX7</f>
        <v>11.3</v>
      </c>
      <c r="AY5" s="405">
        <f t="shared" ref="AY5:AZ5" si="1">AY6+AY7</f>
        <v>15.099999999999998</v>
      </c>
      <c r="AZ5" s="406">
        <f t="shared" si="1"/>
        <v>12.9</v>
      </c>
      <c r="BA5" s="406">
        <f t="shared" ref="BA5:BC5" si="2">BA6+BA7</f>
        <v>12.900000000000006</v>
      </c>
      <c r="BB5" s="406">
        <f t="shared" si="2"/>
        <v>5.5</v>
      </c>
      <c r="BC5" s="405">
        <f t="shared" si="2"/>
        <v>23.6</v>
      </c>
      <c r="BD5" s="406">
        <f t="shared" ref="BD5:BF5" si="3">BD6+BD7</f>
        <v>14.900000000000006</v>
      </c>
      <c r="BE5" s="406">
        <f t="shared" si="3"/>
        <v>14.2</v>
      </c>
      <c r="BF5" s="406">
        <f t="shared" si="3"/>
        <v>8.3999999999999915</v>
      </c>
    </row>
    <row r="6" spans="1:58" s="418" customFormat="1" ht="11.25">
      <c r="A6" s="535" t="s">
        <v>772</v>
      </c>
      <c r="B6" s="535" t="s">
        <v>773</v>
      </c>
      <c r="C6" s="425">
        <v>-2.2999999999999998</v>
      </c>
      <c r="D6" s="337">
        <v>27.3</v>
      </c>
      <c r="E6" s="337">
        <v>-148.19999999999999</v>
      </c>
      <c r="F6" s="337">
        <v>-218.9</v>
      </c>
      <c r="G6" s="425">
        <v>-160.19999999999999</v>
      </c>
      <c r="H6" s="337">
        <v>180.3</v>
      </c>
      <c r="I6" s="337">
        <v>474.8</v>
      </c>
      <c r="J6" s="338">
        <v>-543.79999999999995</v>
      </c>
      <c r="K6" s="425">
        <v>-2835.6</v>
      </c>
      <c r="L6" s="337">
        <v>686.1</v>
      </c>
      <c r="M6" s="337">
        <v>477.8</v>
      </c>
      <c r="N6" s="338">
        <v>296.3</v>
      </c>
      <c r="O6" s="425">
        <v>235.9</v>
      </c>
      <c r="P6" s="337">
        <v>-183.2</v>
      </c>
      <c r="Q6" s="337">
        <v>161</v>
      </c>
      <c r="R6" s="338">
        <v>204</v>
      </c>
      <c r="S6" s="425">
        <v>184.3</v>
      </c>
      <c r="T6" s="337">
        <v>-102.3</v>
      </c>
      <c r="U6" s="337">
        <v>112.4</v>
      </c>
      <c r="V6" s="338">
        <v>-46.2</v>
      </c>
      <c r="W6" s="337">
        <v>135.69999999999999</v>
      </c>
      <c r="X6" s="337">
        <v>222.5</v>
      </c>
      <c r="Y6" s="337">
        <v>58.2</v>
      </c>
      <c r="Z6" s="338">
        <v>-18.399999999999999</v>
      </c>
      <c r="AA6" s="337">
        <v>91.4</v>
      </c>
      <c r="AB6" s="337">
        <f>-41.9+10.3</f>
        <v>-31.599999999999998</v>
      </c>
      <c r="AC6" s="337">
        <f>-44.9-5.1</f>
        <v>-50</v>
      </c>
      <c r="AD6" s="338">
        <v>-22.4</v>
      </c>
      <c r="AE6" s="337">
        <v>9.1</v>
      </c>
      <c r="AF6" s="337">
        <v>-38.700000000000003</v>
      </c>
      <c r="AG6" s="337">
        <v>57.9</v>
      </c>
      <c r="AH6" s="338">
        <v>-10.6</v>
      </c>
      <c r="AI6" s="337">
        <v>19.399999999999999</v>
      </c>
      <c r="AJ6" s="337">
        <v>-1.9</v>
      </c>
      <c r="AK6" s="337">
        <v>16.100000000000001</v>
      </c>
      <c r="AL6" s="338">
        <v>53.9</v>
      </c>
      <c r="AM6" s="337">
        <v>-94</v>
      </c>
      <c r="AN6" s="337">
        <v>-44.1</v>
      </c>
      <c r="AO6" s="337">
        <v>68.400000000000006</v>
      </c>
      <c r="AP6" s="338">
        <v>99.4</v>
      </c>
      <c r="AQ6" s="425">
        <v>-41.8</v>
      </c>
      <c r="AR6" s="337">
        <v>38.799999999999997</v>
      </c>
      <c r="AS6" s="337">
        <v>4.5</v>
      </c>
      <c r="AT6" s="337">
        <v>56.4</v>
      </c>
      <c r="AU6" s="407">
        <v>19.100000000000001</v>
      </c>
      <c r="AV6" s="408">
        <v>84.9</v>
      </c>
      <c r="AW6" s="337">
        <v>22.9</v>
      </c>
      <c r="AX6" s="337">
        <v>-12.3</v>
      </c>
      <c r="AY6" s="407">
        <v>-29.8</v>
      </c>
      <c r="AZ6" s="408">
        <v>7.2</v>
      </c>
      <c r="BA6" s="408">
        <v>101.7</v>
      </c>
      <c r="BB6" s="408">
        <v>-10.7</v>
      </c>
      <c r="BC6" s="407">
        <v>-6.7</v>
      </c>
      <c r="BD6" s="408">
        <v>142.5</v>
      </c>
      <c r="BE6" s="408">
        <v>4.0999999999999996</v>
      </c>
      <c r="BF6" s="408">
        <v>-86.9</v>
      </c>
    </row>
    <row r="7" spans="1:58" s="418" customFormat="1" ht="11.25">
      <c r="A7" s="535" t="s">
        <v>775</v>
      </c>
      <c r="B7" s="535" t="s">
        <v>774</v>
      </c>
      <c r="C7" s="425">
        <v>32.4</v>
      </c>
      <c r="D7" s="337">
        <v>13.1</v>
      </c>
      <c r="E7" s="337">
        <v>190.6</v>
      </c>
      <c r="F7" s="337">
        <v>268.60000000000002</v>
      </c>
      <c r="G7" s="425">
        <v>198</v>
      </c>
      <c r="H7" s="337">
        <v>-88.9</v>
      </c>
      <c r="I7" s="337">
        <v>-457.8</v>
      </c>
      <c r="J7" s="338">
        <v>628</v>
      </c>
      <c r="K7" s="425">
        <v>2777.4</v>
      </c>
      <c r="L7" s="337">
        <v>-732.5</v>
      </c>
      <c r="M7" s="337">
        <v>-495.8</v>
      </c>
      <c r="N7" s="338">
        <v>-357.2</v>
      </c>
      <c r="O7" s="425">
        <v>-241.7</v>
      </c>
      <c r="P7" s="337">
        <v>179.2</v>
      </c>
      <c r="Q7" s="337">
        <v>-150.80000000000001</v>
      </c>
      <c r="R7" s="338">
        <v>-210.1</v>
      </c>
      <c r="S7" s="425">
        <v>-167.3</v>
      </c>
      <c r="T7" s="337">
        <v>98.6</v>
      </c>
      <c r="U7" s="337">
        <v>-143</v>
      </c>
      <c r="V7" s="338">
        <v>50.2</v>
      </c>
      <c r="W7" s="337">
        <v>-101</v>
      </c>
      <c r="X7" s="337">
        <v>-213.9</v>
      </c>
      <c r="Y7" s="337">
        <v>-53.4</v>
      </c>
      <c r="Z7" s="338">
        <v>12.2</v>
      </c>
      <c r="AA7" s="337">
        <v>-78.5</v>
      </c>
      <c r="AB7" s="337">
        <v>37.799999999999997</v>
      </c>
      <c r="AC7" s="337">
        <v>63.9</v>
      </c>
      <c r="AD7" s="338">
        <v>29.9</v>
      </c>
      <c r="AE7" s="337">
        <v>5.9</v>
      </c>
      <c r="AF7" s="337">
        <v>56.5</v>
      </c>
      <c r="AG7" s="337">
        <v>-39.5</v>
      </c>
      <c r="AH7" s="338">
        <v>18.8</v>
      </c>
      <c r="AI7" s="337">
        <v>-15.6</v>
      </c>
      <c r="AJ7" s="337">
        <v>17.399999999999999</v>
      </c>
      <c r="AK7" s="337">
        <v>-1.5</v>
      </c>
      <c r="AL7" s="338">
        <v>-41.9</v>
      </c>
      <c r="AM7" s="337">
        <v>108.2</v>
      </c>
      <c r="AN7" s="337">
        <v>45.8</v>
      </c>
      <c r="AO7" s="337">
        <v>-57.3</v>
      </c>
      <c r="AP7" s="338">
        <v>-88.8</v>
      </c>
      <c r="AQ7" s="425">
        <v>65.599999999999994</v>
      </c>
      <c r="AR7" s="337">
        <v>-21.3</v>
      </c>
      <c r="AS7" s="337">
        <v>17.100000000000001</v>
      </c>
      <c r="AT7" s="337">
        <v>-40.4</v>
      </c>
      <c r="AU7" s="407">
        <v>-10.8</v>
      </c>
      <c r="AV7" s="408">
        <v>-77.2</v>
      </c>
      <c r="AW7" s="337">
        <v>-14.5</v>
      </c>
      <c r="AX7" s="337">
        <v>23.6</v>
      </c>
      <c r="AY7" s="407">
        <v>44.9</v>
      </c>
      <c r="AZ7" s="408">
        <v>5.7</v>
      </c>
      <c r="BA7" s="408">
        <v>-88.8</v>
      </c>
      <c r="BB7" s="408">
        <v>16.2</v>
      </c>
      <c r="BC7" s="407">
        <v>30.3</v>
      </c>
      <c r="BD7" s="408">
        <v>-127.6</v>
      </c>
      <c r="BE7" s="408">
        <v>10.1</v>
      </c>
      <c r="BF7" s="408">
        <v>95.3</v>
      </c>
    </row>
    <row r="8" spans="1:58" s="418" customFormat="1" ht="11.25">
      <c r="A8" s="508" t="s">
        <v>780</v>
      </c>
      <c r="B8" s="508" t="s">
        <v>778</v>
      </c>
      <c r="C8" s="425">
        <v>8.6</v>
      </c>
      <c r="D8" s="337">
        <v>4.7</v>
      </c>
      <c r="E8" s="337">
        <v>-15.9</v>
      </c>
      <c r="F8" s="337">
        <v>-48.7</v>
      </c>
      <c r="G8" s="425">
        <v>-27.8</v>
      </c>
      <c r="H8" s="337">
        <v>62.6</v>
      </c>
      <c r="I8" s="337">
        <v>-35.9</v>
      </c>
      <c r="J8" s="338">
        <v>-279.8</v>
      </c>
      <c r="K8" s="425">
        <v>38.299999999999997</v>
      </c>
      <c r="L8" s="337">
        <v>94.2</v>
      </c>
      <c r="M8" s="337">
        <v>21.7</v>
      </c>
      <c r="N8" s="338">
        <v>57.1</v>
      </c>
      <c r="O8" s="425">
        <v>-2.5</v>
      </c>
      <c r="P8" s="337">
        <v>19.7</v>
      </c>
      <c r="Q8" s="337">
        <v>10.5</v>
      </c>
      <c r="R8" s="338">
        <v>2.7</v>
      </c>
      <c r="S8" s="425">
        <v>0</v>
      </c>
      <c r="T8" s="337">
        <v>9.6999999999999993</v>
      </c>
      <c r="U8" s="337">
        <v>17.2</v>
      </c>
      <c r="V8" s="338">
        <v>-27</v>
      </c>
      <c r="W8" s="337">
        <v>6.3</v>
      </c>
      <c r="X8" s="337">
        <v>1.2</v>
      </c>
      <c r="Y8" s="337">
        <v>13.2</v>
      </c>
      <c r="Z8" s="338">
        <v>6.3</v>
      </c>
      <c r="AA8" s="337">
        <f>-2.9-1</f>
        <v>-3.9</v>
      </c>
      <c r="AB8" s="337">
        <f>16-5.2</f>
        <v>10.8</v>
      </c>
      <c r="AC8" s="337">
        <f>15.9-16.2</f>
        <v>-0.29999999999999893</v>
      </c>
      <c r="AD8" s="338">
        <v>-1.5</v>
      </c>
      <c r="AE8" s="337">
        <f>9.6-0.4</f>
        <v>9.1999999999999993</v>
      </c>
      <c r="AF8" s="337">
        <v>3.2</v>
      </c>
      <c r="AG8" s="337">
        <v>3.5</v>
      </c>
      <c r="AH8" s="338">
        <v>12.3</v>
      </c>
      <c r="AI8" s="337">
        <v>10.5</v>
      </c>
      <c r="AJ8" s="337">
        <v>10.9</v>
      </c>
      <c r="AK8" s="337">
        <v>8</v>
      </c>
      <c r="AL8" s="338">
        <v>4.5999999999999996</v>
      </c>
      <c r="AM8" s="337">
        <v>2.7</v>
      </c>
      <c r="AN8" s="337">
        <v>-2.7</v>
      </c>
      <c r="AO8" s="337">
        <v>-1</v>
      </c>
      <c r="AP8" s="338">
        <v>-4.4000000000000004</v>
      </c>
      <c r="AQ8" s="425">
        <v>3.2</v>
      </c>
      <c r="AR8" s="337">
        <v>-1.8</v>
      </c>
      <c r="AS8" s="337">
        <v>-0.4</v>
      </c>
      <c r="AT8" s="337">
        <v>2.4</v>
      </c>
      <c r="AU8" s="407">
        <v>1.4</v>
      </c>
      <c r="AV8" s="408">
        <v>14.1</v>
      </c>
      <c r="AW8" s="337">
        <v>15.6</v>
      </c>
      <c r="AX8" s="337">
        <v>5</v>
      </c>
      <c r="AY8" s="407">
        <v>10.9</v>
      </c>
      <c r="AZ8" s="408">
        <v>1.5</v>
      </c>
      <c r="BA8" s="408">
        <v>10.199999999999999</v>
      </c>
      <c r="BB8" s="408">
        <v>16.8</v>
      </c>
      <c r="BC8" s="407">
        <v>-33</v>
      </c>
      <c r="BD8" s="408">
        <v>20.6</v>
      </c>
      <c r="BE8" s="408">
        <v>6.3</v>
      </c>
      <c r="BF8" s="408">
        <v>11.6</v>
      </c>
    </row>
    <row r="9" spans="1:58" s="428" customFormat="1" ht="11.25">
      <c r="A9" s="411" t="s">
        <v>782</v>
      </c>
      <c r="B9" s="411" t="s">
        <v>777</v>
      </c>
      <c r="C9" s="425">
        <v>8</v>
      </c>
      <c r="D9" s="337">
        <v>-46.4</v>
      </c>
      <c r="E9" s="337">
        <v>5.7</v>
      </c>
      <c r="F9" s="337">
        <v>-16.399999999999999</v>
      </c>
      <c r="G9" s="425">
        <v>39.5</v>
      </c>
      <c r="H9" s="337">
        <v>-79.599999999999994</v>
      </c>
      <c r="I9" s="337">
        <v>71.5</v>
      </c>
      <c r="J9" s="338">
        <v>-113.9</v>
      </c>
      <c r="K9" s="425">
        <v>-5.5</v>
      </c>
      <c r="L9" s="337">
        <v>-8</v>
      </c>
      <c r="M9" s="337">
        <v>51.2</v>
      </c>
      <c r="N9" s="338">
        <v>20.6</v>
      </c>
      <c r="O9" s="425">
        <v>35.200000000000003</v>
      </c>
      <c r="P9" s="337">
        <v>7.3</v>
      </c>
      <c r="Q9" s="337">
        <v>3.3</v>
      </c>
      <c r="R9" s="338">
        <v>4.2</v>
      </c>
      <c r="S9" s="425">
        <v>8.9</v>
      </c>
      <c r="T9" s="337">
        <v>5</v>
      </c>
      <c r="U9" s="337">
        <v>4.4000000000000004</v>
      </c>
      <c r="V9" s="338">
        <v>10.8</v>
      </c>
      <c r="W9" s="337">
        <v>11.6</v>
      </c>
      <c r="X9" s="337">
        <v>3.1</v>
      </c>
      <c r="Y9" s="337">
        <v>0.4</v>
      </c>
      <c r="Z9" s="338">
        <v>-0.2</v>
      </c>
      <c r="AA9" s="337">
        <v>6.4</v>
      </c>
      <c r="AB9" s="337">
        <v>11.4</v>
      </c>
      <c r="AC9" s="337">
        <v>5.9</v>
      </c>
      <c r="AD9" s="338">
        <v>3.4</v>
      </c>
      <c r="AE9" s="337">
        <v>0.1</v>
      </c>
      <c r="AF9" s="337">
        <v>1.5</v>
      </c>
      <c r="AG9" s="337">
        <v>1.4</v>
      </c>
      <c r="AH9" s="338">
        <v>2.5</v>
      </c>
      <c r="AI9" s="337">
        <v>0.8</v>
      </c>
      <c r="AJ9" s="337">
        <v>1.1000000000000001</v>
      </c>
      <c r="AK9" s="337">
        <v>-3.1</v>
      </c>
      <c r="AL9" s="338">
        <v>6.3</v>
      </c>
      <c r="AM9" s="337">
        <v>6.1</v>
      </c>
      <c r="AN9" s="337">
        <v>6.1</v>
      </c>
      <c r="AO9" s="337">
        <v>6.3</v>
      </c>
      <c r="AP9" s="338">
        <v>6.5</v>
      </c>
      <c r="AQ9" s="425">
        <v>9.6999999999999993</v>
      </c>
      <c r="AR9" s="337">
        <v>11.9</v>
      </c>
      <c r="AS9" s="337">
        <v>10.1</v>
      </c>
      <c r="AT9" s="337">
        <v>4.8</v>
      </c>
      <c r="AU9" s="407">
        <v>8.3000000000000007</v>
      </c>
      <c r="AV9" s="408">
        <v>2.5</v>
      </c>
      <c r="AW9" s="337">
        <v>3.1</v>
      </c>
      <c r="AX9" s="337">
        <v>5.0999999999999996</v>
      </c>
      <c r="AY9" s="407">
        <v>5.4</v>
      </c>
      <c r="AZ9" s="408">
        <v>10.7</v>
      </c>
      <c r="BA9" s="408">
        <v>3.4</v>
      </c>
      <c r="BB9" s="408">
        <v>2.9</v>
      </c>
      <c r="BC9" s="407">
        <v>23.1</v>
      </c>
      <c r="BD9" s="408">
        <v>8.7999999999999972</v>
      </c>
      <c r="BE9" s="408">
        <v>4.2</v>
      </c>
      <c r="BF9" s="408">
        <v>0.7</v>
      </c>
    </row>
    <row r="10" spans="1:58" s="428" customFormat="1" ht="22.5">
      <c r="A10" s="411" t="s">
        <v>781</v>
      </c>
      <c r="B10" s="411" t="s">
        <v>779</v>
      </c>
      <c r="C10" s="425">
        <v>-9</v>
      </c>
      <c r="D10" s="337">
        <v>14.3</v>
      </c>
      <c r="E10" s="337">
        <v>3.5</v>
      </c>
      <c r="F10" s="337">
        <v>8.6</v>
      </c>
      <c r="G10" s="425">
        <v>14.3</v>
      </c>
      <c r="H10" s="337">
        <v>5.9</v>
      </c>
      <c r="I10" s="337">
        <v>8.6999999999999993</v>
      </c>
      <c r="J10" s="338">
        <v>3.1</v>
      </c>
      <c r="K10" s="425">
        <v>3.8</v>
      </c>
      <c r="L10" s="337">
        <v>1.2</v>
      </c>
      <c r="M10" s="337">
        <v>-1</v>
      </c>
      <c r="N10" s="338">
        <v>4</v>
      </c>
      <c r="O10" s="425">
        <v>1.8</v>
      </c>
      <c r="P10" s="337">
        <v>1.5</v>
      </c>
      <c r="Q10" s="337">
        <v>-0.1</v>
      </c>
      <c r="R10" s="338">
        <v>2</v>
      </c>
      <c r="S10" s="425">
        <v>2.2000000000000002</v>
      </c>
      <c r="T10" s="337">
        <v>1.1000000000000001</v>
      </c>
      <c r="U10" s="337">
        <v>4.4000000000000004</v>
      </c>
      <c r="V10" s="338">
        <v>-0.2</v>
      </c>
      <c r="W10" s="337">
        <v>0.5</v>
      </c>
      <c r="X10" s="337">
        <v>0.6</v>
      </c>
      <c r="Y10" s="337">
        <v>0.5</v>
      </c>
      <c r="Z10" s="338">
        <v>0.7</v>
      </c>
      <c r="AA10" s="337">
        <v>0.7</v>
      </c>
      <c r="AB10" s="337">
        <v>0.7</v>
      </c>
      <c r="AC10" s="337">
        <v>0.7</v>
      </c>
      <c r="AD10" s="338">
        <v>0.7</v>
      </c>
      <c r="AE10" s="337">
        <v>0.6</v>
      </c>
      <c r="AF10" s="337">
        <v>0.3</v>
      </c>
      <c r="AG10" s="337">
        <v>0.3</v>
      </c>
      <c r="AH10" s="338">
        <v>0.1</v>
      </c>
      <c r="AI10" s="337">
        <v>0.1</v>
      </c>
      <c r="AJ10" s="337">
        <v>0</v>
      </c>
      <c r="AK10" s="337">
        <v>0</v>
      </c>
      <c r="AL10" s="338">
        <v>0</v>
      </c>
      <c r="AM10" s="337">
        <v>0</v>
      </c>
      <c r="AN10" s="337">
        <v>0</v>
      </c>
      <c r="AO10" s="337">
        <v>0</v>
      </c>
      <c r="AP10" s="338">
        <v>0</v>
      </c>
      <c r="AQ10" s="425">
        <v>0</v>
      </c>
      <c r="AR10" s="337">
        <v>0</v>
      </c>
      <c r="AS10" s="337">
        <v>0</v>
      </c>
      <c r="AT10" s="337">
        <v>0</v>
      </c>
      <c r="AU10" s="407">
        <v>0</v>
      </c>
      <c r="AV10" s="408">
        <v>0</v>
      </c>
      <c r="AW10" s="337">
        <v>0</v>
      </c>
      <c r="AX10" s="337">
        <v>0</v>
      </c>
      <c r="AY10" s="407">
        <v>0</v>
      </c>
      <c r="AZ10" s="408">
        <v>0</v>
      </c>
      <c r="BA10" s="408">
        <v>0</v>
      </c>
      <c r="BB10" s="408">
        <v>0</v>
      </c>
      <c r="BC10" s="407">
        <v>0</v>
      </c>
      <c r="BD10" s="408">
        <v>0</v>
      </c>
      <c r="BE10" s="408">
        <v>0</v>
      </c>
      <c r="BF10" s="408">
        <v>0</v>
      </c>
    </row>
    <row r="11" spans="1:58" s="428" customFormat="1" ht="11.25">
      <c r="A11" s="411" t="s">
        <v>783</v>
      </c>
      <c r="B11" s="411" t="s">
        <v>776</v>
      </c>
      <c r="C11" s="425">
        <v>-0.7</v>
      </c>
      <c r="D11" s="337">
        <v>2.1</v>
      </c>
      <c r="E11" s="337">
        <v>0.2</v>
      </c>
      <c r="F11" s="337">
        <v>-4.5999999999999996</v>
      </c>
      <c r="G11" s="425">
        <v>-9.1999999999999993</v>
      </c>
      <c r="H11" s="337">
        <v>-1.3</v>
      </c>
      <c r="I11" s="337">
        <v>-1.8</v>
      </c>
      <c r="J11" s="338">
        <v>-6.7</v>
      </c>
      <c r="K11" s="425">
        <v>-0.7</v>
      </c>
      <c r="L11" s="337">
        <v>2.8</v>
      </c>
      <c r="M11" s="337">
        <v>4.9000000000000004</v>
      </c>
      <c r="N11" s="338">
        <v>-0.5</v>
      </c>
      <c r="O11" s="425">
        <v>0</v>
      </c>
      <c r="P11" s="337">
        <v>-0.3</v>
      </c>
      <c r="Q11" s="337">
        <v>1.9</v>
      </c>
      <c r="R11" s="338">
        <v>0</v>
      </c>
      <c r="S11" s="425">
        <v>-1</v>
      </c>
      <c r="T11" s="337">
        <v>-0.2</v>
      </c>
      <c r="U11" s="337">
        <v>-3.5</v>
      </c>
      <c r="V11" s="338">
        <v>0.6</v>
      </c>
      <c r="W11" s="337">
        <v>0</v>
      </c>
      <c r="X11" s="337">
        <v>0</v>
      </c>
      <c r="Y11" s="337">
        <v>0</v>
      </c>
      <c r="Z11" s="338">
        <v>0</v>
      </c>
      <c r="AA11" s="337">
        <v>0</v>
      </c>
      <c r="AB11" s="337">
        <v>0</v>
      </c>
      <c r="AC11" s="337">
        <v>0</v>
      </c>
      <c r="AD11" s="338">
        <v>0</v>
      </c>
      <c r="AE11" s="337">
        <v>0</v>
      </c>
      <c r="AF11" s="337">
        <v>0</v>
      </c>
      <c r="AG11" s="337">
        <v>0</v>
      </c>
      <c r="AH11" s="338">
        <v>0</v>
      </c>
      <c r="AI11" s="337">
        <v>0</v>
      </c>
      <c r="AJ11" s="337">
        <v>0</v>
      </c>
      <c r="AK11" s="337">
        <v>0</v>
      </c>
      <c r="AL11" s="338">
        <v>0</v>
      </c>
      <c r="AM11" s="337">
        <v>0</v>
      </c>
      <c r="AN11" s="337">
        <v>0</v>
      </c>
      <c r="AO11" s="337">
        <v>0</v>
      </c>
      <c r="AP11" s="338">
        <v>0</v>
      </c>
      <c r="AQ11" s="425">
        <v>0</v>
      </c>
      <c r="AR11" s="337">
        <v>0</v>
      </c>
      <c r="AS11" s="337">
        <v>0</v>
      </c>
      <c r="AT11" s="337">
        <v>0</v>
      </c>
      <c r="AU11" s="407">
        <v>0</v>
      </c>
      <c r="AV11" s="408">
        <v>0</v>
      </c>
      <c r="AW11" s="337">
        <v>0</v>
      </c>
      <c r="AX11" s="337">
        <v>0</v>
      </c>
      <c r="AY11" s="407">
        <v>0</v>
      </c>
      <c r="AZ11" s="408">
        <v>0</v>
      </c>
      <c r="BA11" s="408">
        <v>0</v>
      </c>
      <c r="BB11" s="408">
        <v>0</v>
      </c>
      <c r="BC11" s="407">
        <v>0</v>
      </c>
      <c r="BD11" s="408">
        <v>0</v>
      </c>
      <c r="BE11" s="408">
        <v>0</v>
      </c>
      <c r="BF11" s="408">
        <v>0</v>
      </c>
    </row>
    <row r="12" spans="1:58" s="424" customFormat="1" ht="22.5" customHeight="1">
      <c r="A12" s="536" t="s">
        <v>785</v>
      </c>
      <c r="B12" s="536" t="s">
        <v>770</v>
      </c>
      <c r="C12" s="407" t="s">
        <v>332</v>
      </c>
      <c r="D12" s="408" t="s">
        <v>332</v>
      </c>
      <c r="E12" s="408" t="s">
        <v>332</v>
      </c>
      <c r="F12" s="408" t="s">
        <v>332</v>
      </c>
      <c r="G12" s="407" t="s">
        <v>332</v>
      </c>
      <c r="H12" s="408" t="s">
        <v>332</v>
      </c>
      <c r="I12" s="408" t="s">
        <v>332</v>
      </c>
      <c r="J12" s="408" t="s">
        <v>332</v>
      </c>
      <c r="K12" s="407" t="s">
        <v>332</v>
      </c>
      <c r="L12" s="408" t="s">
        <v>332</v>
      </c>
      <c r="M12" s="408" t="s">
        <v>332</v>
      </c>
      <c r="N12" s="408" t="s">
        <v>332</v>
      </c>
      <c r="O12" s="407" t="s">
        <v>332</v>
      </c>
      <c r="P12" s="408" t="s">
        <v>332</v>
      </c>
      <c r="Q12" s="408" t="s">
        <v>332</v>
      </c>
      <c r="R12" s="408" t="s">
        <v>332</v>
      </c>
      <c r="S12" s="407" t="s">
        <v>332</v>
      </c>
      <c r="T12" s="408" t="s">
        <v>332</v>
      </c>
      <c r="U12" s="408" t="s">
        <v>332</v>
      </c>
      <c r="V12" s="408" t="s">
        <v>332</v>
      </c>
      <c r="W12" s="407" t="s">
        <v>332</v>
      </c>
      <c r="X12" s="408" t="s">
        <v>332</v>
      </c>
      <c r="Y12" s="408" t="s">
        <v>332</v>
      </c>
      <c r="Z12" s="408" t="s">
        <v>332</v>
      </c>
      <c r="AA12" s="407" t="s">
        <v>332</v>
      </c>
      <c r="AB12" s="408" t="s">
        <v>332</v>
      </c>
      <c r="AC12" s="408" t="s">
        <v>332</v>
      </c>
      <c r="AD12" s="408" t="s">
        <v>332</v>
      </c>
      <c r="AE12" s="407" t="s">
        <v>332</v>
      </c>
      <c r="AF12" s="408" t="s">
        <v>332</v>
      </c>
      <c r="AG12" s="408" t="s">
        <v>332</v>
      </c>
      <c r="AH12" s="408" t="s">
        <v>332</v>
      </c>
      <c r="AI12" s="407" t="s">
        <v>332</v>
      </c>
      <c r="AJ12" s="408" t="s">
        <v>332</v>
      </c>
      <c r="AK12" s="408" t="s">
        <v>332</v>
      </c>
      <c r="AL12" s="408" t="s">
        <v>332</v>
      </c>
      <c r="AM12" s="407" t="s">
        <v>332</v>
      </c>
      <c r="AN12" s="408" t="s">
        <v>332</v>
      </c>
      <c r="AO12" s="408" t="s">
        <v>332</v>
      </c>
      <c r="AP12" s="408" t="s">
        <v>332</v>
      </c>
      <c r="AQ12" s="407" t="s">
        <v>332</v>
      </c>
      <c r="AR12" s="408" t="s">
        <v>332</v>
      </c>
      <c r="AS12" s="408" t="s">
        <v>332</v>
      </c>
      <c r="AT12" s="408" t="s">
        <v>332</v>
      </c>
      <c r="AU12" s="407">
        <v>0</v>
      </c>
      <c r="AV12" s="408">
        <v>0.1</v>
      </c>
      <c r="AW12" s="337">
        <v>0</v>
      </c>
      <c r="AX12" s="337">
        <v>0</v>
      </c>
      <c r="AY12" s="407">
        <v>0</v>
      </c>
      <c r="AZ12" s="408">
        <v>0</v>
      </c>
      <c r="BA12" s="408">
        <v>0.1</v>
      </c>
      <c r="BB12" s="408">
        <v>0</v>
      </c>
      <c r="BC12" s="407">
        <v>0.2</v>
      </c>
      <c r="BD12" s="408">
        <v>0</v>
      </c>
      <c r="BE12" s="408">
        <v>-0.3</v>
      </c>
      <c r="BF12" s="408">
        <v>0.2</v>
      </c>
    </row>
    <row r="13" spans="1:58" s="473" customFormat="1" ht="22.5">
      <c r="A13" s="509" t="s">
        <v>222</v>
      </c>
      <c r="B13" s="509" t="s">
        <v>55</v>
      </c>
      <c r="C13" s="435">
        <f t="shared" ref="C13:X13" si="4">C14+C15</f>
        <v>0.8</v>
      </c>
      <c r="D13" s="436">
        <f t="shared" si="4"/>
        <v>2.2999999999999998</v>
      </c>
      <c r="E13" s="436">
        <f t="shared" si="4"/>
        <v>0.4</v>
      </c>
      <c r="F13" s="437">
        <f t="shared" si="4"/>
        <v>2.9</v>
      </c>
      <c r="G13" s="436">
        <f t="shared" si="4"/>
        <v>17.899999999999999</v>
      </c>
      <c r="H13" s="436">
        <f t="shared" si="4"/>
        <v>-14.200000000000001</v>
      </c>
      <c r="I13" s="436">
        <f t="shared" si="4"/>
        <v>-6.1000000000000005</v>
      </c>
      <c r="J13" s="436">
        <f t="shared" si="4"/>
        <v>5.2</v>
      </c>
      <c r="K13" s="435">
        <f t="shared" si="4"/>
        <v>-1.7000000000000002</v>
      </c>
      <c r="L13" s="436">
        <f t="shared" si="4"/>
        <v>-0.2</v>
      </c>
      <c r="M13" s="436">
        <f t="shared" si="4"/>
        <v>0</v>
      </c>
      <c r="N13" s="437">
        <f t="shared" si="4"/>
        <v>-0.8</v>
      </c>
      <c r="O13" s="436">
        <f t="shared" si="4"/>
        <v>-0.2</v>
      </c>
      <c r="P13" s="436">
        <f t="shared" si="4"/>
        <v>-1.4</v>
      </c>
      <c r="Q13" s="436">
        <f t="shared" si="4"/>
        <v>-1.4</v>
      </c>
      <c r="R13" s="436">
        <f t="shared" si="4"/>
        <v>-1</v>
      </c>
      <c r="S13" s="435">
        <f t="shared" si="4"/>
        <v>-0.3</v>
      </c>
      <c r="T13" s="436">
        <f t="shared" si="4"/>
        <v>-0.5</v>
      </c>
      <c r="U13" s="436">
        <f t="shared" si="4"/>
        <v>0</v>
      </c>
      <c r="V13" s="437">
        <f t="shared" si="4"/>
        <v>0</v>
      </c>
      <c r="W13" s="436">
        <f t="shared" si="4"/>
        <v>0.6</v>
      </c>
      <c r="X13" s="436">
        <f t="shared" si="4"/>
        <v>-1.2</v>
      </c>
      <c r="Y13" s="436">
        <f>Y14+Y15</f>
        <v>0</v>
      </c>
      <c r="Z13" s="437">
        <f>Z14+Z15</f>
        <v>0</v>
      </c>
      <c r="AA13" s="436">
        <f>AA14+AA15</f>
        <v>0</v>
      </c>
      <c r="AB13" s="436">
        <f>AB14+AB15</f>
        <v>0</v>
      </c>
      <c r="AC13" s="436">
        <f>AC14+AC15</f>
        <v>0</v>
      </c>
      <c r="AD13" s="437">
        <v>0</v>
      </c>
      <c r="AE13" s="436">
        <v>0</v>
      </c>
      <c r="AF13" s="436">
        <v>0</v>
      </c>
      <c r="AG13" s="436">
        <v>0</v>
      </c>
      <c r="AH13" s="437">
        <v>0</v>
      </c>
      <c r="AI13" s="436">
        <v>0</v>
      </c>
      <c r="AJ13" s="436">
        <v>0</v>
      </c>
      <c r="AK13" s="436">
        <v>0</v>
      </c>
      <c r="AL13" s="437">
        <v>0</v>
      </c>
      <c r="AM13" s="436">
        <v>0</v>
      </c>
      <c r="AN13" s="436">
        <v>0</v>
      </c>
      <c r="AO13" s="436">
        <v>0</v>
      </c>
      <c r="AP13" s="437">
        <v>0</v>
      </c>
      <c r="AQ13" s="435">
        <f>+AQ14+AQ15</f>
        <v>0</v>
      </c>
      <c r="AR13" s="436">
        <f t="shared" ref="AR13:AT13" si="5">+AR14+AR15</f>
        <v>0</v>
      </c>
      <c r="AS13" s="436">
        <f t="shared" si="5"/>
        <v>0</v>
      </c>
      <c r="AT13" s="436">
        <f t="shared" si="5"/>
        <v>0</v>
      </c>
      <c r="AU13" s="405" t="s">
        <v>332</v>
      </c>
      <c r="AV13" s="406" t="s">
        <v>332</v>
      </c>
      <c r="AW13" s="406" t="s">
        <v>332</v>
      </c>
      <c r="AX13" s="406" t="s">
        <v>332</v>
      </c>
      <c r="AY13" s="405" t="s">
        <v>332</v>
      </c>
      <c r="AZ13" s="406" t="s">
        <v>332</v>
      </c>
      <c r="BA13" s="406" t="s">
        <v>332</v>
      </c>
      <c r="BB13" s="406" t="s">
        <v>332</v>
      </c>
      <c r="BC13" s="405" t="s">
        <v>332</v>
      </c>
      <c r="BD13" s="406" t="s">
        <v>332</v>
      </c>
      <c r="BE13" s="406" t="s">
        <v>332</v>
      </c>
      <c r="BF13" s="406" t="s">
        <v>332</v>
      </c>
    </row>
    <row r="14" spans="1:58" s="424" customFormat="1" ht="11.25">
      <c r="A14" s="508" t="s">
        <v>221</v>
      </c>
      <c r="B14" s="508" t="s">
        <v>54</v>
      </c>
      <c r="C14" s="425">
        <v>0.8</v>
      </c>
      <c r="D14" s="337">
        <v>2.2999999999999998</v>
      </c>
      <c r="E14" s="337">
        <v>0.4</v>
      </c>
      <c r="F14" s="337">
        <v>2.9</v>
      </c>
      <c r="G14" s="425">
        <v>-0.1</v>
      </c>
      <c r="H14" s="337">
        <v>-1.9</v>
      </c>
      <c r="I14" s="337">
        <v>1.8</v>
      </c>
      <c r="J14" s="338">
        <v>0.8</v>
      </c>
      <c r="K14" s="425">
        <v>0.4</v>
      </c>
      <c r="L14" s="337">
        <v>-0.2</v>
      </c>
      <c r="M14" s="337">
        <v>0</v>
      </c>
      <c r="N14" s="338">
        <v>-0.8</v>
      </c>
      <c r="O14" s="425">
        <v>-0.2</v>
      </c>
      <c r="P14" s="337">
        <v>-1.4</v>
      </c>
      <c r="Q14" s="337">
        <v>-1.4</v>
      </c>
      <c r="R14" s="338">
        <v>-1</v>
      </c>
      <c r="S14" s="425">
        <v>-0.3</v>
      </c>
      <c r="T14" s="337">
        <v>-0.5</v>
      </c>
      <c r="U14" s="337">
        <v>0</v>
      </c>
      <c r="V14" s="338">
        <v>0</v>
      </c>
      <c r="W14" s="337">
        <v>0.6</v>
      </c>
      <c r="X14" s="337">
        <v>-1.2</v>
      </c>
      <c r="Y14" s="337">
        <v>0</v>
      </c>
      <c r="Z14" s="338">
        <v>0</v>
      </c>
      <c r="AA14" s="337">
        <v>0</v>
      </c>
      <c r="AB14" s="337">
        <v>0</v>
      </c>
      <c r="AC14" s="337">
        <v>0</v>
      </c>
      <c r="AD14" s="338">
        <v>0</v>
      </c>
      <c r="AE14" s="337">
        <v>0</v>
      </c>
      <c r="AF14" s="337">
        <v>0</v>
      </c>
      <c r="AG14" s="337">
        <v>0</v>
      </c>
      <c r="AH14" s="338">
        <v>0</v>
      </c>
      <c r="AI14" s="337">
        <v>0</v>
      </c>
      <c r="AJ14" s="337">
        <v>0</v>
      </c>
      <c r="AK14" s="337">
        <v>0</v>
      </c>
      <c r="AL14" s="338">
        <v>0</v>
      </c>
      <c r="AM14" s="337">
        <v>0</v>
      </c>
      <c r="AN14" s="337">
        <v>0</v>
      </c>
      <c r="AO14" s="337">
        <v>0</v>
      </c>
      <c r="AP14" s="338">
        <v>0</v>
      </c>
      <c r="AQ14" s="425">
        <v>0</v>
      </c>
      <c r="AR14" s="337">
        <v>0</v>
      </c>
      <c r="AS14" s="337">
        <v>0</v>
      </c>
      <c r="AT14" s="337">
        <v>0</v>
      </c>
      <c r="AU14" s="407" t="s">
        <v>332</v>
      </c>
      <c r="AV14" s="408" t="s">
        <v>332</v>
      </c>
      <c r="AW14" s="408" t="s">
        <v>332</v>
      </c>
      <c r="AX14" s="408" t="s">
        <v>332</v>
      </c>
      <c r="AY14" s="407" t="s">
        <v>332</v>
      </c>
      <c r="AZ14" s="408" t="s">
        <v>332</v>
      </c>
      <c r="BA14" s="408" t="s">
        <v>332</v>
      </c>
      <c r="BB14" s="408" t="s">
        <v>332</v>
      </c>
      <c r="BC14" s="407" t="s">
        <v>332</v>
      </c>
      <c r="BD14" s="408" t="s">
        <v>332</v>
      </c>
      <c r="BE14" s="408" t="s">
        <v>332</v>
      </c>
      <c r="BF14" s="408" t="s">
        <v>332</v>
      </c>
    </row>
    <row r="15" spans="1:58" s="424" customFormat="1" ht="22.5">
      <c r="A15" s="508" t="s">
        <v>372</v>
      </c>
      <c r="B15" s="508" t="s">
        <v>342</v>
      </c>
      <c r="C15" s="425">
        <v>0</v>
      </c>
      <c r="D15" s="337">
        <v>0</v>
      </c>
      <c r="E15" s="337">
        <v>0</v>
      </c>
      <c r="F15" s="337">
        <v>0</v>
      </c>
      <c r="G15" s="425">
        <v>18</v>
      </c>
      <c r="H15" s="337">
        <v>-12.3</v>
      </c>
      <c r="I15" s="337">
        <v>-7.9</v>
      </c>
      <c r="J15" s="338">
        <f>2.3+2.1</f>
        <v>4.4000000000000004</v>
      </c>
      <c r="K15" s="425">
        <v>-2.1</v>
      </c>
      <c r="L15" s="337">
        <v>0</v>
      </c>
      <c r="M15" s="337">
        <v>0</v>
      </c>
      <c r="N15" s="338">
        <v>0</v>
      </c>
      <c r="O15" s="425">
        <v>0</v>
      </c>
      <c r="P15" s="337">
        <v>0</v>
      </c>
      <c r="Q15" s="337">
        <v>0</v>
      </c>
      <c r="R15" s="338">
        <v>0</v>
      </c>
      <c r="S15" s="425">
        <v>0</v>
      </c>
      <c r="T15" s="337">
        <v>0</v>
      </c>
      <c r="U15" s="337">
        <v>0</v>
      </c>
      <c r="V15" s="338">
        <v>0</v>
      </c>
      <c r="W15" s="337">
        <v>0</v>
      </c>
      <c r="X15" s="337">
        <v>0</v>
      </c>
      <c r="Y15" s="337">
        <v>0</v>
      </c>
      <c r="Z15" s="338">
        <v>0</v>
      </c>
      <c r="AA15" s="337">
        <v>0</v>
      </c>
      <c r="AB15" s="337">
        <v>0</v>
      </c>
      <c r="AC15" s="337">
        <v>0</v>
      </c>
      <c r="AD15" s="338">
        <v>0</v>
      </c>
      <c r="AE15" s="337">
        <v>0</v>
      </c>
      <c r="AF15" s="337">
        <v>0</v>
      </c>
      <c r="AG15" s="337">
        <v>0</v>
      </c>
      <c r="AH15" s="338">
        <v>0</v>
      </c>
      <c r="AI15" s="337">
        <v>0</v>
      </c>
      <c r="AJ15" s="337">
        <v>0</v>
      </c>
      <c r="AK15" s="337">
        <v>0</v>
      </c>
      <c r="AL15" s="338">
        <v>0</v>
      </c>
      <c r="AM15" s="337">
        <v>0</v>
      </c>
      <c r="AN15" s="337">
        <v>0</v>
      </c>
      <c r="AO15" s="337">
        <v>0</v>
      </c>
      <c r="AP15" s="338">
        <v>0</v>
      </c>
      <c r="AQ15" s="425">
        <v>0</v>
      </c>
      <c r="AR15" s="337">
        <v>0</v>
      </c>
      <c r="AS15" s="337">
        <v>0</v>
      </c>
      <c r="AT15" s="337">
        <v>0</v>
      </c>
      <c r="AU15" s="407" t="s">
        <v>332</v>
      </c>
      <c r="AV15" s="408" t="s">
        <v>332</v>
      </c>
      <c r="AW15" s="408" t="s">
        <v>332</v>
      </c>
      <c r="AX15" s="408" t="s">
        <v>332</v>
      </c>
      <c r="AY15" s="407" t="s">
        <v>332</v>
      </c>
      <c r="AZ15" s="408" t="s">
        <v>332</v>
      </c>
      <c r="BA15" s="408" t="s">
        <v>332</v>
      </c>
      <c r="BB15" s="408" t="s">
        <v>332</v>
      </c>
      <c r="BC15" s="407" t="s">
        <v>332</v>
      </c>
      <c r="BD15" s="408" t="s">
        <v>332</v>
      </c>
      <c r="BE15" s="408" t="s">
        <v>332</v>
      </c>
      <c r="BF15" s="408" t="s">
        <v>332</v>
      </c>
    </row>
    <row r="17" spans="1:58" s="95" customFormat="1" ht="22.5">
      <c r="A17" s="51" t="s">
        <v>314</v>
      </c>
      <c r="B17" s="51" t="s">
        <v>52</v>
      </c>
      <c r="C17" s="37">
        <f t="shared" ref="C17:AS17" si="6">C5+C8+C9+C10+C11+C13</f>
        <v>37.79999999999999</v>
      </c>
      <c r="D17" s="38">
        <f t="shared" si="6"/>
        <v>17.400000000000002</v>
      </c>
      <c r="E17" s="38">
        <f t="shared" si="6"/>
        <v>36.300000000000011</v>
      </c>
      <c r="F17" s="38">
        <f t="shared" si="6"/>
        <v>-8.499999999999984</v>
      </c>
      <c r="G17" s="37">
        <f t="shared" si="6"/>
        <v>72.5</v>
      </c>
      <c r="H17" s="38">
        <f t="shared" si="6"/>
        <v>64.800000000000011</v>
      </c>
      <c r="I17" s="38">
        <f t="shared" si="6"/>
        <v>53.4</v>
      </c>
      <c r="J17" s="39">
        <f t="shared" si="6"/>
        <v>-307.89999999999998</v>
      </c>
      <c r="K17" s="37">
        <f t="shared" si="6"/>
        <v>-23.999999999999819</v>
      </c>
      <c r="L17" s="38">
        <f t="shared" si="6"/>
        <v>43.600000000000023</v>
      </c>
      <c r="M17" s="38">
        <f t="shared" si="6"/>
        <v>58.800000000000004</v>
      </c>
      <c r="N17" s="39">
        <f t="shared" si="6"/>
        <v>19.500000000000025</v>
      </c>
      <c r="O17" s="37">
        <f t="shared" si="6"/>
        <v>28.500000000000021</v>
      </c>
      <c r="P17" s="38">
        <f t="shared" si="6"/>
        <v>22.8</v>
      </c>
      <c r="Q17" s="38">
        <f t="shared" si="6"/>
        <v>24.399999999999988</v>
      </c>
      <c r="R17" s="39">
        <f t="shared" si="6"/>
        <v>1.800000000000006</v>
      </c>
      <c r="S17" s="37">
        <f t="shared" si="6"/>
        <v>26.799999999999997</v>
      </c>
      <c r="T17" s="38">
        <f t="shared" si="6"/>
        <v>11.399999999999997</v>
      </c>
      <c r="U17" s="38">
        <f t="shared" si="6"/>
        <v>-8.0999999999999943</v>
      </c>
      <c r="V17" s="39">
        <f t="shared" si="6"/>
        <v>-11.799999999999999</v>
      </c>
      <c r="W17" s="38">
        <f t="shared" si="6"/>
        <v>53.699999999999989</v>
      </c>
      <c r="X17" s="38">
        <f t="shared" si="6"/>
        <v>12.299999999999994</v>
      </c>
      <c r="Y17" s="38">
        <f t="shared" si="6"/>
        <v>18.900000000000002</v>
      </c>
      <c r="Z17" s="39">
        <f t="shared" si="6"/>
        <v>0.60000000000000053</v>
      </c>
      <c r="AA17" s="38">
        <f t="shared" si="6"/>
        <v>16.100000000000005</v>
      </c>
      <c r="AB17" s="38">
        <f t="shared" si="6"/>
        <v>29.099999999999998</v>
      </c>
      <c r="AC17" s="38">
        <f t="shared" si="6"/>
        <v>20.2</v>
      </c>
      <c r="AD17" s="39">
        <f t="shared" si="6"/>
        <v>10.1</v>
      </c>
      <c r="AE17" s="38">
        <f t="shared" si="6"/>
        <v>24.900000000000002</v>
      </c>
      <c r="AF17" s="38">
        <f t="shared" si="6"/>
        <v>22.799999999999997</v>
      </c>
      <c r="AG17" s="38">
        <f t="shared" si="6"/>
        <v>23.599999999999998</v>
      </c>
      <c r="AH17" s="39">
        <f t="shared" si="6"/>
        <v>23.1</v>
      </c>
      <c r="AI17" s="38">
        <f t="shared" si="6"/>
        <v>15.2</v>
      </c>
      <c r="AJ17" s="38">
        <f t="shared" si="6"/>
        <v>27.5</v>
      </c>
      <c r="AK17" s="38">
        <f t="shared" si="6"/>
        <v>19.5</v>
      </c>
      <c r="AL17" s="39">
        <f t="shared" si="6"/>
        <v>22.900000000000002</v>
      </c>
      <c r="AM17" s="38">
        <f t="shared" si="6"/>
        <v>23</v>
      </c>
      <c r="AN17" s="38">
        <f t="shared" si="6"/>
        <v>5.0999999999999952</v>
      </c>
      <c r="AO17" s="38">
        <f t="shared" si="6"/>
        <v>16.400000000000009</v>
      </c>
      <c r="AP17" s="39">
        <f t="shared" si="6"/>
        <v>12.700000000000008</v>
      </c>
      <c r="AQ17" s="37">
        <f t="shared" si="6"/>
        <v>36.699999999999996</v>
      </c>
      <c r="AR17" s="38">
        <f t="shared" si="6"/>
        <v>27.599999999999994</v>
      </c>
      <c r="AS17" s="38">
        <f t="shared" si="6"/>
        <v>31.300000000000004</v>
      </c>
      <c r="AT17" s="38">
        <f>AT5+AT8+AT9+AT10+AT11+AT13</f>
        <v>23.2</v>
      </c>
      <c r="AU17" s="74">
        <f t="shared" ref="AU17:AZ17" si="7">AU5+AU8+AU9+AU10+AU11+AU12</f>
        <v>18</v>
      </c>
      <c r="AV17" s="38">
        <f t="shared" si="7"/>
        <v>24.400000000000006</v>
      </c>
      <c r="AW17" s="38">
        <f t="shared" si="7"/>
        <v>27.1</v>
      </c>
      <c r="AX17" s="38">
        <f t="shared" si="7"/>
        <v>21.4</v>
      </c>
      <c r="AY17" s="74">
        <f t="shared" si="7"/>
        <v>31.4</v>
      </c>
      <c r="AZ17" s="38">
        <f t="shared" si="7"/>
        <v>25.1</v>
      </c>
      <c r="BA17" s="38">
        <f t="shared" ref="BA17:BC17" si="8">BA5+BA8+BA9+BA10+BA11+BA12</f>
        <v>26.600000000000005</v>
      </c>
      <c r="BB17" s="38">
        <f t="shared" si="8"/>
        <v>25.2</v>
      </c>
      <c r="BC17" s="74">
        <f t="shared" si="8"/>
        <v>13.900000000000002</v>
      </c>
      <c r="BD17" s="38">
        <f t="shared" ref="BD17:BE17" si="9">BD5+BD8+BD9+BD10+BD11+BD12</f>
        <v>44.300000000000004</v>
      </c>
      <c r="BE17" s="38">
        <f t="shared" si="9"/>
        <v>24.4</v>
      </c>
      <c r="BF17" s="38">
        <f t="shared" ref="BF17" si="10">BF5+BF8+BF9+BF10+BF11+BF12</f>
        <v>20.899999999999991</v>
      </c>
    </row>
    <row r="18" spans="1:58" s="175" customFormat="1" ht="11.25">
      <c r="A18" s="35"/>
      <c r="B18" s="35"/>
      <c r="C18" s="28"/>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28"/>
      <c r="AR18" s="28"/>
      <c r="AS18" s="28"/>
      <c r="AT18" s="28"/>
      <c r="AU18" s="28"/>
      <c r="AV18" s="28"/>
      <c r="AW18" s="28"/>
      <c r="AX18" s="28"/>
      <c r="AY18" s="28"/>
      <c r="AZ18" s="28"/>
      <c r="BA18" s="28"/>
      <c r="BB18" s="28"/>
      <c r="BC18" s="28"/>
      <c r="BD18" s="28"/>
      <c r="BE18" s="28"/>
      <c r="BF18" s="28"/>
    </row>
    <row r="19" spans="1:58" s="424" customFormat="1" ht="22.5">
      <c r="A19" s="412" t="s">
        <v>717</v>
      </c>
      <c r="B19" s="412" t="s">
        <v>550</v>
      </c>
      <c r="C19" s="425" t="s">
        <v>332</v>
      </c>
      <c r="D19" s="337" t="s">
        <v>332</v>
      </c>
      <c r="E19" s="337" t="s">
        <v>332</v>
      </c>
      <c r="F19" s="337" t="s">
        <v>332</v>
      </c>
      <c r="G19" s="425" t="s">
        <v>332</v>
      </c>
      <c r="H19" s="337" t="s">
        <v>332</v>
      </c>
      <c r="I19" s="337" t="s">
        <v>332</v>
      </c>
      <c r="J19" s="338" t="s">
        <v>332</v>
      </c>
      <c r="K19" s="425" t="s">
        <v>332</v>
      </c>
      <c r="L19" s="337" t="s">
        <v>332</v>
      </c>
      <c r="M19" s="337" t="s">
        <v>332</v>
      </c>
      <c r="N19" s="338" t="s">
        <v>332</v>
      </c>
      <c r="O19" s="425" t="s">
        <v>332</v>
      </c>
      <c r="P19" s="337" t="s">
        <v>332</v>
      </c>
      <c r="Q19" s="337" t="s">
        <v>332</v>
      </c>
      <c r="R19" s="338" t="s">
        <v>332</v>
      </c>
      <c r="S19" s="425" t="s">
        <v>332</v>
      </c>
      <c r="T19" s="337" t="s">
        <v>332</v>
      </c>
      <c r="U19" s="337" t="s">
        <v>332</v>
      </c>
      <c r="V19" s="338" t="s">
        <v>332</v>
      </c>
      <c r="W19" s="337" t="s">
        <v>332</v>
      </c>
      <c r="X19" s="337" t="s">
        <v>332</v>
      </c>
      <c r="Y19" s="337" t="s">
        <v>332</v>
      </c>
      <c r="Z19" s="338" t="s">
        <v>332</v>
      </c>
      <c r="AA19" s="337" t="s">
        <v>332</v>
      </c>
      <c r="AB19" s="337" t="s">
        <v>332</v>
      </c>
      <c r="AC19" s="337" t="s">
        <v>332</v>
      </c>
      <c r="AD19" s="338" t="s">
        <v>332</v>
      </c>
      <c r="AE19" s="337" t="s">
        <v>332</v>
      </c>
      <c r="AF19" s="337" t="s">
        <v>332</v>
      </c>
      <c r="AG19" s="337" t="s">
        <v>332</v>
      </c>
      <c r="AH19" s="338" t="s">
        <v>332</v>
      </c>
      <c r="AI19" s="337" t="s">
        <v>332</v>
      </c>
      <c r="AJ19" s="337" t="s">
        <v>332</v>
      </c>
      <c r="AK19" s="337" t="s">
        <v>332</v>
      </c>
      <c r="AL19" s="338" t="s">
        <v>332</v>
      </c>
      <c r="AM19" s="337" t="s">
        <v>332</v>
      </c>
      <c r="AN19" s="337" t="s">
        <v>332</v>
      </c>
      <c r="AO19" s="337" t="s">
        <v>332</v>
      </c>
      <c r="AP19" s="338" t="s">
        <v>332</v>
      </c>
      <c r="AQ19" s="407" t="s">
        <v>332</v>
      </c>
      <c r="AR19" s="408" t="s">
        <v>332</v>
      </c>
      <c r="AS19" s="408" t="s">
        <v>332</v>
      </c>
      <c r="AT19" s="408" t="s">
        <v>332</v>
      </c>
      <c r="AU19" s="407">
        <v>1.1000000000000001</v>
      </c>
      <c r="AV19" s="408">
        <v>-0.1</v>
      </c>
      <c r="AW19" s="408">
        <v>0</v>
      </c>
      <c r="AX19" s="408">
        <v>0</v>
      </c>
      <c r="AY19" s="407">
        <v>0</v>
      </c>
      <c r="AZ19" s="408">
        <v>0</v>
      </c>
      <c r="BA19" s="408">
        <v>0</v>
      </c>
      <c r="BB19" s="408">
        <v>0</v>
      </c>
      <c r="BC19" s="407">
        <v>7.3</v>
      </c>
      <c r="BD19" s="408">
        <v>0</v>
      </c>
      <c r="BE19" s="408">
        <v>0</v>
      </c>
      <c r="BF19" s="408">
        <v>0</v>
      </c>
    </row>
    <row r="20" spans="1:58" s="424" customFormat="1" ht="22.5">
      <c r="A20" s="412" t="s">
        <v>718</v>
      </c>
      <c r="B20" s="412" t="s">
        <v>551</v>
      </c>
      <c r="C20" s="425" t="s">
        <v>332</v>
      </c>
      <c r="D20" s="337" t="s">
        <v>332</v>
      </c>
      <c r="E20" s="337" t="s">
        <v>332</v>
      </c>
      <c r="F20" s="337" t="s">
        <v>332</v>
      </c>
      <c r="G20" s="425" t="s">
        <v>332</v>
      </c>
      <c r="H20" s="337" t="s">
        <v>332</v>
      </c>
      <c r="I20" s="337" t="s">
        <v>332</v>
      </c>
      <c r="J20" s="338" t="s">
        <v>332</v>
      </c>
      <c r="K20" s="425" t="s">
        <v>332</v>
      </c>
      <c r="L20" s="337" t="s">
        <v>332</v>
      </c>
      <c r="M20" s="337" t="s">
        <v>332</v>
      </c>
      <c r="N20" s="338" t="s">
        <v>332</v>
      </c>
      <c r="O20" s="425" t="s">
        <v>332</v>
      </c>
      <c r="P20" s="337" t="s">
        <v>332</v>
      </c>
      <c r="Q20" s="337" t="s">
        <v>332</v>
      </c>
      <c r="R20" s="338" t="s">
        <v>332</v>
      </c>
      <c r="S20" s="425" t="s">
        <v>332</v>
      </c>
      <c r="T20" s="337" t="s">
        <v>332</v>
      </c>
      <c r="U20" s="337" t="s">
        <v>332</v>
      </c>
      <c r="V20" s="338" t="s">
        <v>332</v>
      </c>
      <c r="W20" s="337" t="s">
        <v>332</v>
      </c>
      <c r="X20" s="337" t="s">
        <v>332</v>
      </c>
      <c r="Y20" s="337" t="s">
        <v>332</v>
      </c>
      <c r="Z20" s="338" t="s">
        <v>332</v>
      </c>
      <c r="AA20" s="337" t="s">
        <v>332</v>
      </c>
      <c r="AB20" s="337" t="s">
        <v>332</v>
      </c>
      <c r="AC20" s="337" t="s">
        <v>332</v>
      </c>
      <c r="AD20" s="338" t="s">
        <v>332</v>
      </c>
      <c r="AE20" s="337" t="s">
        <v>332</v>
      </c>
      <c r="AF20" s="337" t="s">
        <v>332</v>
      </c>
      <c r="AG20" s="337" t="s">
        <v>332</v>
      </c>
      <c r="AH20" s="338" t="s">
        <v>332</v>
      </c>
      <c r="AI20" s="337" t="s">
        <v>332</v>
      </c>
      <c r="AJ20" s="337" t="s">
        <v>332</v>
      </c>
      <c r="AK20" s="337" t="s">
        <v>332</v>
      </c>
      <c r="AL20" s="338" t="s">
        <v>332</v>
      </c>
      <c r="AM20" s="337" t="s">
        <v>332</v>
      </c>
      <c r="AN20" s="337" t="s">
        <v>332</v>
      </c>
      <c r="AO20" s="337" t="s">
        <v>332</v>
      </c>
      <c r="AP20" s="338" t="s">
        <v>332</v>
      </c>
      <c r="AQ20" s="407" t="s">
        <v>332</v>
      </c>
      <c r="AR20" s="408" t="s">
        <v>332</v>
      </c>
      <c r="AS20" s="408" t="s">
        <v>332</v>
      </c>
      <c r="AT20" s="408" t="s">
        <v>332</v>
      </c>
      <c r="AU20" s="407">
        <v>32.200000000000003</v>
      </c>
      <c r="AV20" s="408">
        <v>12</v>
      </c>
      <c r="AW20" s="408">
        <v>0</v>
      </c>
      <c r="AX20" s="408">
        <v>3.8</v>
      </c>
      <c r="AY20" s="407">
        <v>15.8</v>
      </c>
      <c r="AZ20" s="408">
        <v>9.4</v>
      </c>
      <c r="BA20" s="408">
        <v>3.6</v>
      </c>
      <c r="BB20" s="408">
        <v>0.5</v>
      </c>
      <c r="BC20" s="407">
        <v>1.8</v>
      </c>
      <c r="BD20" s="408">
        <v>10.4</v>
      </c>
      <c r="BE20" s="408">
        <v>5.4</v>
      </c>
      <c r="BF20" s="408">
        <v>5.0999999999999996</v>
      </c>
    </row>
    <row r="21" spans="1:58" s="424" customFormat="1" ht="11.25">
      <c r="A21" s="412" t="s">
        <v>223</v>
      </c>
      <c r="B21" s="412" t="s">
        <v>56</v>
      </c>
      <c r="C21" s="425">
        <v>14.6</v>
      </c>
      <c r="D21" s="337">
        <v>0</v>
      </c>
      <c r="E21" s="337">
        <v>0</v>
      </c>
      <c r="F21" s="337">
        <v>0</v>
      </c>
      <c r="G21" s="425">
        <v>0.1</v>
      </c>
      <c r="H21" s="337">
        <v>25.4</v>
      </c>
      <c r="I21" s="337">
        <v>0</v>
      </c>
      <c r="J21" s="338">
        <v>2.6</v>
      </c>
      <c r="K21" s="425">
        <v>0</v>
      </c>
      <c r="L21" s="337">
        <v>4.0999999999999996</v>
      </c>
      <c r="M21" s="337">
        <v>0.1</v>
      </c>
      <c r="N21" s="338">
        <v>-0.1</v>
      </c>
      <c r="O21" s="425">
        <v>0</v>
      </c>
      <c r="P21" s="337">
        <v>0</v>
      </c>
      <c r="Q21" s="337">
        <v>0.2</v>
      </c>
      <c r="R21" s="338">
        <v>0</v>
      </c>
      <c r="S21" s="425">
        <v>0</v>
      </c>
      <c r="T21" s="337">
        <v>0</v>
      </c>
      <c r="U21" s="337">
        <v>0</v>
      </c>
      <c r="V21" s="338">
        <v>1.4</v>
      </c>
      <c r="W21" s="337">
        <v>6.8</v>
      </c>
      <c r="X21" s="337">
        <f>S21+T21</f>
        <v>0</v>
      </c>
      <c r="Y21" s="337">
        <v>0</v>
      </c>
      <c r="Z21" s="338">
        <v>0</v>
      </c>
      <c r="AA21" s="337">
        <v>0</v>
      </c>
      <c r="AB21" s="337">
        <v>0</v>
      </c>
      <c r="AC21" s="337">
        <v>0</v>
      </c>
      <c r="AD21" s="338">
        <v>0.5</v>
      </c>
      <c r="AE21" s="337">
        <v>0</v>
      </c>
      <c r="AF21" s="337">
        <v>0</v>
      </c>
      <c r="AG21" s="337">
        <v>1.2</v>
      </c>
      <c r="AH21" s="338">
        <v>5.3</v>
      </c>
      <c r="AI21" s="337">
        <v>0</v>
      </c>
      <c r="AJ21" s="337">
        <v>0</v>
      </c>
      <c r="AK21" s="337">
        <v>23.1</v>
      </c>
      <c r="AL21" s="338">
        <v>0</v>
      </c>
      <c r="AM21" s="337">
        <v>0</v>
      </c>
      <c r="AN21" s="337">
        <v>189.6</v>
      </c>
      <c r="AO21" s="337">
        <v>0</v>
      </c>
      <c r="AP21" s="338">
        <v>0</v>
      </c>
      <c r="AQ21" s="407">
        <v>0</v>
      </c>
      <c r="AR21" s="408">
        <v>11.9</v>
      </c>
      <c r="AS21" s="408">
        <v>0.4</v>
      </c>
      <c r="AT21" s="408">
        <v>0</v>
      </c>
      <c r="AU21" s="407" t="s">
        <v>700</v>
      </c>
      <c r="AV21" s="408" t="s">
        <v>700</v>
      </c>
      <c r="AW21" s="408" t="s">
        <v>700</v>
      </c>
      <c r="AX21" s="408" t="s">
        <v>700</v>
      </c>
      <c r="AY21" s="407" t="s">
        <v>700</v>
      </c>
      <c r="AZ21" s="408" t="s">
        <v>700</v>
      </c>
      <c r="BA21" s="408" t="s">
        <v>700</v>
      </c>
      <c r="BB21" s="408" t="s">
        <v>700</v>
      </c>
      <c r="BC21" s="407" t="s">
        <v>700</v>
      </c>
      <c r="BD21" s="408" t="s">
        <v>700</v>
      </c>
      <c r="BE21" s="408" t="s">
        <v>700</v>
      </c>
      <c r="BF21" s="515" t="s">
        <v>332</v>
      </c>
    </row>
    <row r="22" spans="1:58" s="424" customFormat="1" ht="11.25">
      <c r="A22" s="412" t="s">
        <v>224</v>
      </c>
      <c r="B22" s="412" t="s">
        <v>57</v>
      </c>
      <c r="C22" s="425">
        <v>2.2999999999999998</v>
      </c>
      <c r="D22" s="337">
        <v>4.7</v>
      </c>
      <c r="E22" s="337">
        <v>0.6</v>
      </c>
      <c r="F22" s="337">
        <v>0</v>
      </c>
      <c r="G22" s="425">
        <v>0</v>
      </c>
      <c r="H22" s="337">
        <v>-3.7</v>
      </c>
      <c r="I22" s="337">
        <v>-0.7</v>
      </c>
      <c r="J22" s="338">
        <v>0</v>
      </c>
      <c r="K22" s="425">
        <v>0.3</v>
      </c>
      <c r="L22" s="337">
        <v>0.2</v>
      </c>
      <c r="M22" s="337">
        <v>5.2</v>
      </c>
      <c r="N22" s="338">
        <v>-10.7</v>
      </c>
      <c r="O22" s="425">
        <v>3.8</v>
      </c>
      <c r="P22" s="337">
        <v>-0.5</v>
      </c>
      <c r="Q22" s="337">
        <v>-0.4</v>
      </c>
      <c r="R22" s="338">
        <v>-5.7</v>
      </c>
      <c r="S22" s="425">
        <v>18.2</v>
      </c>
      <c r="T22" s="337">
        <v>-0.2</v>
      </c>
      <c r="U22" s="337">
        <v>7.4</v>
      </c>
      <c r="V22" s="338">
        <v>4.3</v>
      </c>
      <c r="W22" s="337">
        <v>12.3</v>
      </c>
      <c r="X22" s="337">
        <v>2.5</v>
      </c>
      <c r="Y22" s="337">
        <v>0</v>
      </c>
      <c r="Z22" s="338">
        <v>3.7</v>
      </c>
      <c r="AA22" s="337">
        <f>120.3-20.9</f>
        <v>99.4</v>
      </c>
      <c r="AB22" s="337">
        <f>-3.7+6.8</f>
        <v>3.0999999999999996</v>
      </c>
      <c r="AC22" s="337">
        <f>-11.7+3</f>
        <v>-8.6999999999999993</v>
      </c>
      <c r="AD22" s="338">
        <v>0</v>
      </c>
      <c r="AE22" s="337">
        <f>0.1+0.2</f>
        <v>0.30000000000000004</v>
      </c>
      <c r="AF22" s="337">
        <v>4.9000000000000004</v>
      </c>
      <c r="AG22" s="337">
        <v>0</v>
      </c>
      <c r="AH22" s="338">
        <v>0.1</v>
      </c>
      <c r="AI22" s="337">
        <v>50.9</v>
      </c>
      <c r="AJ22" s="337">
        <v>3.1</v>
      </c>
      <c r="AK22" s="337">
        <v>0</v>
      </c>
      <c r="AL22" s="338">
        <v>0.3</v>
      </c>
      <c r="AM22" s="337">
        <v>28.7</v>
      </c>
      <c r="AN22" s="337">
        <v>1.6</v>
      </c>
      <c r="AO22" s="337">
        <v>3.9</v>
      </c>
      <c r="AP22" s="338">
        <v>2.9</v>
      </c>
      <c r="AQ22" s="407">
        <v>10.1</v>
      </c>
      <c r="AR22" s="408">
        <v>14.7</v>
      </c>
      <c r="AS22" s="408">
        <v>3.2</v>
      </c>
      <c r="AT22" s="408">
        <v>0</v>
      </c>
      <c r="AU22" s="407" t="s">
        <v>700</v>
      </c>
      <c r="AV22" s="408" t="s">
        <v>700</v>
      </c>
      <c r="AW22" s="408" t="s">
        <v>700</v>
      </c>
      <c r="AX22" s="408" t="s">
        <v>700</v>
      </c>
      <c r="AY22" s="407" t="s">
        <v>700</v>
      </c>
      <c r="AZ22" s="408" t="s">
        <v>700</v>
      </c>
      <c r="BA22" s="408" t="s">
        <v>700</v>
      </c>
      <c r="BB22" s="408" t="s">
        <v>700</v>
      </c>
      <c r="BC22" s="407" t="s">
        <v>700</v>
      </c>
      <c r="BD22" s="408" t="s">
        <v>700</v>
      </c>
      <c r="BE22" s="408" t="s">
        <v>700</v>
      </c>
      <c r="BF22" s="515" t="s">
        <v>332</v>
      </c>
    </row>
    <row r="23" spans="1:58" s="418" customFormat="1" ht="11.25">
      <c r="A23" s="532" t="s">
        <v>225</v>
      </c>
      <c r="B23" s="532" t="s">
        <v>58</v>
      </c>
      <c r="C23" s="425">
        <v>0</v>
      </c>
      <c r="D23" s="337">
        <v>1.4</v>
      </c>
      <c r="E23" s="337">
        <v>1.3</v>
      </c>
      <c r="F23" s="337">
        <v>0.1</v>
      </c>
      <c r="G23" s="425">
        <v>0</v>
      </c>
      <c r="H23" s="337">
        <v>2.4</v>
      </c>
      <c r="I23" s="337">
        <v>0.4</v>
      </c>
      <c r="J23" s="338">
        <v>4.3</v>
      </c>
      <c r="K23" s="425">
        <v>0</v>
      </c>
      <c r="L23" s="337">
        <v>4</v>
      </c>
      <c r="M23" s="337">
        <v>0.1</v>
      </c>
      <c r="N23" s="338">
        <v>0.1</v>
      </c>
      <c r="O23" s="425">
        <f>0.3-0.1</f>
        <v>0.19999999999999998</v>
      </c>
      <c r="P23" s="337">
        <v>3.5</v>
      </c>
      <c r="Q23" s="337">
        <v>1</v>
      </c>
      <c r="R23" s="338">
        <v>0.1</v>
      </c>
      <c r="S23" s="425">
        <v>0</v>
      </c>
      <c r="T23" s="337">
        <v>4.4000000000000004</v>
      </c>
      <c r="U23" s="337">
        <v>0.3</v>
      </c>
      <c r="V23" s="338">
        <v>0.2</v>
      </c>
      <c r="W23" s="337">
        <v>0</v>
      </c>
      <c r="X23" s="337">
        <v>4.0999999999999996</v>
      </c>
      <c r="Y23" s="337">
        <v>0</v>
      </c>
      <c r="Z23" s="338">
        <v>0</v>
      </c>
      <c r="AA23" s="337">
        <v>0</v>
      </c>
      <c r="AB23" s="337">
        <v>3.4</v>
      </c>
      <c r="AC23" s="337">
        <v>0</v>
      </c>
      <c r="AD23" s="338">
        <v>0</v>
      </c>
      <c r="AE23" s="337">
        <v>0</v>
      </c>
      <c r="AF23" s="337">
        <v>0</v>
      </c>
      <c r="AG23" s="337">
        <v>4</v>
      </c>
      <c r="AH23" s="338">
        <v>0</v>
      </c>
      <c r="AI23" s="337">
        <v>0</v>
      </c>
      <c r="AJ23" s="337">
        <v>87.5</v>
      </c>
      <c r="AK23" s="337">
        <v>0.1</v>
      </c>
      <c r="AL23" s="338">
        <v>0</v>
      </c>
      <c r="AM23" s="337">
        <v>0</v>
      </c>
      <c r="AN23" s="337">
        <v>5.4</v>
      </c>
      <c r="AO23" s="337">
        <v>0.1</v>
      </c>
      <c r="AP23" s="338">
        <v>0.1</v>
      </c>
      <c r="AQ23" s="407">
        <v>0.1</v>
      </c>
      <c r="AR23" s="408">
        <v>6.2</v>
      </c>
      <c r="AS23" s="408">
        <v>0</v>
      </c>
      <c r="AT23" s="408">
        <v>0</v>
      </c>
      <c r="AU23" s="407">
        <v>0</v>
      </c>
      <c r="AV23" s="408">
        <v>6.3</v>
      </c>
      <c r="AW23" s="408">
        <v>0</v>
      </c>
      <c r="AX23" s="408">
        <v>0</v>
      </c>
      <c r="AY23" s="407">
        <v>0</v>
      </c>
      <c r="AZ23" s="408">
        <v>7</v>
      </c>
      <c r="BA23" s="408">
        <v>0</v>
      </c>
      <c r="BB23" s="408">
        <v>0</v>
      </c>
      <c r="BC23" s="407">
        <v>0</v>
      </c>
      <c r="BD23" s="408">
        <v>8.4</v>
      </c>
      <c r="BE23" s="408">
        <v>0</v>
      </c>
      <c r="BF23" s="408">
        <v>0</v>
      </c>
    </row>
    <row r="24" spans="1:58" s="418" customFormat="1" ht="11.25">
      <c r="A24" s="532" t="s">
        <v>399</v>
      </c>
      <c r="B24" s="532" t="s">
        <v>400</v>
      </c>
      <c r="C24" s="425">
        <v>0</v>
      </c>
      <c r="D24" s="337">
        <v>0</v>
      </c>
      <c r="E24" s="337">
        <v>0</v>
      </c>
      <c r="F24" s="337">
        <v>0</v>
      </c>
      <c r="G24" s="425">
        <v>0</v>
      </c>
      <c r="H24" s="337">
        <v>0</v>
      </c>
      <c r="I24" s="337">
        <v>0</v>
      </c>
      <c r="J24" s="337">
        <v>0</v>
      </c>
      <c r="K24" s="425">
        <v>0</v>
      </c>
      <c r="L24" s="337">
        <v>0</v>
      </c>
      <c r="M24" s="337">
        <v>0</v>
      </c>
      <c r="N24" s="337">
        <v>0</v>
      </c>
      <c r="O24" s="425">
        <v>0</v>
      </c>
      <c r="P24" s="337">
        <v>0</v>
      </c>
      <c r="Q24" s="337">
        <v>0</v>
      </c>
      <c r="R24" s="337">
        <v>0</v>
      </c>
      <c r="S24" s="425">
        <v>0</v>
      </c>
      <c r="T24" s="337">
        <v>0</v>
      </c>
      <c r="U24" s="337">
        <v>0</v>
      </c>
      <c r="V24" s="337">
        <v>0</v>
      </c>
      <c r="W24" s="337">
        <v>0</v>
      </c>
      <c r="X24" s="337">
        <v>0</v>
      </c>
      <c r="Y24" s="337">
        <v>-0.9</v>
      </c>
      <c r="Z24" s="338">
        <v>-3.9</v>
      </c>
      <c r="AA24" s="337">
        <v>0.1</v>
      </c>
      <c r="AB24" s="337">
        <v>0</v>
      </c>
      <c r="AC24" s="337">
        <v>0</v>
      </c>
      <c r="AD24" s="338">
        <v>-0.1</v>
      </c>
      <c r="AE24" s="337">
        <v>0</v>
      </c>
      <c r="AF24" s="337">
        <v>0</v>
      </c>
      <c r="AG24" s="337">
        <v>0</v>
      </c>
      <c r="AH24" s="338">
        <v>0</v>
      </c>
      <c r="AI24" s="337">
        <v>0</v>
      </c>
      <c r="AJ24" s="337">
        <v>0</v>
      </c>
      <c r="AK24" s="337">
        <v>0</v>
      </c>
      <c r="AL24" s="338">
        <v>0</v>
      </c>
      <c r="AM24" s="337">
        <v>0</v>
      </c>
      <c r="AN24" s="337">
        <v>0</v>
      </c>
      <c r="AO24" s="337">
        <v>0</v>
      </c>
      <c r="AP24" s="338">
        <v>0</v>
      </c>
      <c r="AQ24" s="407">
        <v>0</v>
      </c>
      <c r="AR24" s="408">
        <v>0</v>
      </c>
      <c r="AS24" s="408">
        <v>0</v>
      </c>
      <c r="AT24" s="408">
        <v>0</v>
      </c>
      <c r="AU24" s="407" t="s">
        <v>700</v>
      </c>
      <c r="AV24" s="408" t="s">
        <v>332</v>
      </c>
      <c r="AW24" s="408" t="s">
        <v>332</v>
      </c>
      <c r="AX24" s="408" t="s">
        <v>332</v>
      </c>
      <c r="AY24" s="407" t="s">
        <v>700</v>
      </c>
      <c r="AZ24" s="408" t="s">
        <v>700</v>
      </c>
      <c r="BA24" s="408" t="s">
        <v>700</v>
      </c>
      <c r="BB24" s="408" t="s">
        <v>700</v>
      </c>
      <c r="BC24" s="407" t="s">
        <v>700</v>
      </c>
      <c r="BD24" s="408" t="s">
        <v>700</v>
      </c>
      <c r="BE24" s="408" t="s">
        <v>700</v>
      </c>
      <c r="BF24" s="515" t="s">
        <v>332</v>
      </c>
    </row>
    <row r="25" spans="1:58" s="418" customFormat="1" ht="11.25">
      <c r="A25" s="412" t="s">
        <v>344</v>
      </c>
      <c r="B25" s="412" t="s">
        <v>343</v>
      </c>
      <c r="C25" s="425">
        <v>0</v>
      </c>
      <c r="D25" s="337">
        <v>0</v>
      </c>
      <c r="E25" s="337">
        <v>0</v>
      </c>
      <c r="F25" s="337">
        <v>0</v>
      </c>
      <c r="G25" s="425">
        <v>0</v>
      </c>
      <c r="H25" s="337">
        <v>0</v>
      </c>
      <c r="I25" s="337">
        <v>0</v>
      </c>
      <c r="J25" s="338">
        <v>0</v>
      </c>
      <c r="K25" s="425">
        <v>0</v>
      </c>
      <c r="L25" s="337">
        <v>0</v>
      </c>
      <c r="M25" s="337">
        <v>0</v>
      </c>
      <c r="N25" s="338">
        <v>0</v>
      </c>
      <c r="O25" s="425">
        <v>0</v>
      </c>
      <c r="P25" s="337">
        <v>0</v>
      </c>
      <c r="Q25" s="337">
        <v>0</v>
      </c>
      <c r="R25" s="338">
        <v>0</v>
      </c>
      <c r="S25" s="425">
        <v>0</v>
      </c>
      <c r="T25" s="337">
        <v>2</v>
      </c>
      <c r="U25" s="337">
        <v>0</v>
      </c>
      <c r="V25" s="338">
        <v>0</v>
      </c>
      <c r="W25" s="337">
        <v>0</v>
      </c>
      <c r="X25" s="337">
        <v>0</v>
      </c>
      <c r="Y25" s="337">
        <v>0</v>
      </c>
      <c r="Z25" s="338">
        <v>0</v>
      </c>
      <c r="AA25" s="337">
        <v>0</v>
      </c>
      <c r="AB25" s="337">
        <v>0</v>
      </c>
      <c r="AC25" s="337">
        <v>0</v>
      </c>
      <c r="AD25" s="338">
        <v>0</v>
      </c>
      <c r="AE25" s="337">
        <v>0</v>
      </c>
      <c r="AF25" s="337">
        <v>0</v>
      </c>
      <c r="AG25" s="337">
        <v>0</v>
      </c>
      <c r="AH25" s="338">
        <v>0</v>
      </c>
      <c r="AI25" s="337">
        <v>0</v>
      </c>
      <c r="AJ25" s="337">
        <v>0</v>
      </c>
      <c r="AK25" s="337">
        <v>0</v>
      </c>
      <c r="AL25" s="338">
        <v>0</v>
      </c>
      <c r="AM25" s="337">
        <v>0</v>
      </c>
      <c r="AN25" s="337">
        <v>0</v>
      </c>
      <c r="AO25" s="337">
        <v>0</v>
      </c>
      <c r="AP25" s="338">
        <v>0</v>
      </c>
      <c r="AQ25" s="407">
        <v>0</v>
      </c>
      <c r="AR25" s="408">
        <v>0</v>
      </c>
      <c r="AS25" s="408">
        <v>0</v>
      </c>
      <c r="AT25" s="408">
        <v>0</v>
      </c>
      <c r="AU25" s="407" t="s">
        <v>700</v>
      </c>
      <c r="AV25" s="408" t="s">
        <v>332</v>
      </c>
      <c r="AW25" s="408" t="s">
        <v>332</v>
      </c>
      <c r="AX25" s="408" t="s">
        <v>332</v>
      </c>
      <c r="AY25" s="407" t="s">
        <v>700</v>
      </c>
      <c r="AZ25" s="408" t="s">
        <v>700</v>
      </c>
      <c r="BA25" s="408" t="s">
        <v>700</v>
      </c>
      <c r="BB25" s="408" t="s">
        <v>700</v>
      </c>
      <c r="BC25" s="407" t="s">
        <v>700</v>
      </c>
      <c r="BD25" s="408" t="s">
        <v>700</v>
      </c>
      <c r="BE25" s="408" t="s">
        <v>700</v>
      </c>
      <c r="BF25" s="515" t="s">
        <v>332</v>
      </c>
    </row>
    <row r="26" spans="1:58" s="176" customFormat="1" ht="11.25">
      <c r="A26" s="51" t="s">
        <v>226</v>
      </c>
      <c r="B26" s="51" t="s">
        <v>59</v>
      </c>
      <c r="C26" s="37">
        <f t="shared" ref="C26:V26" si="11">SUM(C21:C25)</f>
        <v>16.899999999999999</v>
      </c>
      <c r="D26" s="38">
        <f t="shared" si="11"/>
        <v>6.1</v>
      </c>
      <c r="E26" s="38">
        <f t="shared" si="11"/>
        <v>1.9</v>
      </c>
      <c r="F26" s="39">
        <f t="shared" si="11"/>
        <v>0.1</v>
      </c>
      <c r="G26" s="38">
        <f t="shared" si="11"/>
        <v>0.1</v>
      </c>
      <c r="H26" s="38">
        <f t="shared" si="11"/>
        <v>24.099999999999998</v>
      </c>
      <c r="I26" s="38">
        <f t="shared" si="11"/>
        <v>-0.29999999999999993</v>
      </c>
      <c r="J26" s="38">
        <f t="shared" si="11"/>
        <v>6.9</v>
      </c>
      <c r="K26" s="37">
        <f t="shared" si="11"/>
        <v>0.3</v>
      </c>
      <c r="L26" s="38">
        <f t="shared" si="11"/>
        <v>8.3000000000000007</v>
      </c>
      <c r="M26" s="38">
        <f t="shared" si="11"/>
        <v>5.3999999999999995</v>
      </c>
      <c r="N26" s="39">
        <f t="shared" si="11"/>
        <v>-10.7</v>
      </c>
      <c r="O26" s="38">
        <f t="shared" si="11"/>
        <v>4</v>
      </c>
      <c r="P26" s="38">
        <f t="shared" si="11"/>
        <v>3</v>
      </c>
      <c r="Q26" s="38">
        <f t="shared" si="11"/>
        <v>0.8</v>
      </c>
      <c r="R26" s="38">
        <f t="shared" si="11"/>
        <v>-5.6000000000000005</v>
      </c>
      <c r="S26" s="37">
        <f t="shared" si="11"/>
        <v>18.2</v>
      </c>
      <c r="T26" s="38">
        <f t="shared" si="11"/>
        <v>6.2</v>
      </c>
      <c r="U26" s="38">
        <f t="shared" si="11"/>
        <v>7.7</v>
      </c>
      <c r="V26" s="39">
        <f t="shared" si="11"/>
        <v>5.8999999999999995</v>
      </c>
      <c r="W26" s="38">
        <f t="shared" ref="W26:AB26" si="12">SUM(W21:W25)</f>
        <v>19.100000000000001</v>
      </c>
      <c r="X26" s="38">
        <f t="shared" si="12"/>
        <v>6.6</v>
      </c>
      <c r="Y26" s="38">
        <f t="shared" si="12"/>
        <v>-0.9</v>
      </c>
      <c r="Z26" s="39">
        <f t="shared" si="12"/>
        <v>-0.19999999999999973</v>
      </c>
      <c r="AA26" s="38">
        <f t="shared" si="12"/>
        <v>99.5</v>
      </c>
      <c r="AB26" s="38">
        <f t="shared" si="12"/>
        <v>6.5</v>
      </c>
      <c r="AC26" s="38">
        <f t="shared" ref="AC26:AI26" si="13">SUM(AC21:AC25)</f>
        <v>-8.6999999999999993</v>
      </c>
      <c r="AD26" s="39">
        <f t="shared" si="13"/>
        <v>0.4</v>
      </c>
      <c r="AE26" s="38">
        <f t="shared" si="13"/>
        <v>0.30000000000000004</v>
      </c>
      <c r="AF26" s="38">
        <f t="shared" si="13"/>
        <v>4.9000000000000004</v>
      </c>
      <c r="AG26" s="38">
        <f t="shared" si="13"/>
        <v>5.2</v>
      </c>
      <c r="AH26" s="39">
        <f t="shared" si="13"/>
        <v>5.3999999999999995</v>
      </c>
      <c r="AI26" s="38">
        <f t="shared" si="13"/>
        <v>50.9</v>
      </c>
      <c r="AJ26" s="38">
        <f t="shared" ref="AJ26:AT26" si="14">SUM(AJ21:AJ25)</f>
        <v>90.6</v>
      </c>
      <c r="AK26" s="38">
        <f t="shared" si="14"/>
        <v>23.200000000000003</v>
      </c>
      <c r="AL26" s="39">
        <f t="shared" si="14"/>
        <v>0.3</v>
      </c>
      <c r="AM26" s="38">
        <f t="shared" si="14"/>
        <v>28.7</v>
      </c>
      <c r="AN26" s="38">
        <f t="shared" si="14"/>
        <v>196.6</v>
      </c>
      <c r="AO26" s="38">
        <f t="shared" si="14"/>
        <v>4</v>
      </c>
      <c r="AP26" s="39">
        <f t="shared" si="14"/>
        <v>3</v>
      </c>
      <c r="AQ26" s="37">
        <f t="shared" si="14"/>
        <v>10.199999999999999</v>
      </c>
      <c r="AR26" s="38">
        <f t="shared" si="14"/>
        <v>32.800000000000004</v>
      </c>
      <c r="AS26" s="38">
        <f t="shared" si="14"/>
        <v>3.6</v>
      </c>
      <c r="AT26" s="38">
        <f t="shared" si="14"/>
        <v>0</v>
      </c>
      <c r="AU26" s="74">
        <f t="shared" ref="AU26:AZ26" si="15">SUM(AU19:AU25)</f>
        <v>33.300000000000004</v>
      </c>
      <c r="AV26" s="38">
        <f t="shared" si="15"/>
        <v>18.2</v>
      </c>
      <c r="AW26" s="38">
        <f t="shared" si="15"/>
        <v>0</v>
      </c>
      <c r="AX26" s="38">
        <f t="shared" si="15"/>
        <v>3.8</v>
      </c>
      <c r="AY26" s="38">
        <f t="shared" si="15"/>
        <v>15.8</v>
      </c>
      <c r="AZ26" s="38">
        <f t="shared" si="15"/>
        <v>16.399999999999999</v>
      </c>
      <c r="BA26" s="38">
        <f t="shared" ref="BA26:BC26" si="16">SUM(BA19:BA25)</f>
        <v>3.6</v>
      </c>
      <c r="BB26" s="38">
        <f t="shared" si="16"/>
        <v>0.5</v>
      </c>
      <c r="BC26" s="38">
        <f t="shared" si="16"/>
        <v>9.1</v>
      </c>
      <c r="BD26" s="38">
        <f t="shared" ref="BD26:BE26" si="17">SUM(BD19:BD25)</f>
        <v>18.8</v>
      </c>
      <c r="BE26" s="38">
        <f t="shared" si="17"/>
        <v>5.4</v>
      </c>
      <c r="BF26" s="38">
        <f t="shared" ref="BF26" si="18">SUM(BF19:BF25)</f>
        <v>5.0999999999999996</v>
      </c>
    </row>
    <row r="27" spans="1:58" s="17" customFormat="1" ht="11.25">
      <c r="A27" s="95"/>
      <c r="B27" s="95"/>
      <c r="C27" s="28"/>
      <c r="D27" s="28"/>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28"/>
      <c r="AL27" s="28"/>
      <c r="AM27" s="28"/>
      <c r="AN27" s="28"/>
      <c r="AO27" s="28"/>
      <c r="AP27" s="28"/>
      <c r="AQ27" s="28"/>
      <c r="AR27" s="28"/>
      <c r="AS27" s="28"/>
      <c r="AT27" s="28"/>
      <c r="AU27" s="28"/>
      <c r="AV27" s="28"/>
      <c r="AW27" s="28"/>
      <c r="AX27" s="28"/>
      <c r="AY27" s="28"/>
      <c r="AZ27" s="28"/>
      <c r="BA27" s="28"/>
      <c r="BB27" s="28"/>
      <c r="BC27" s="28"/>
      <c r="BD27" s="28"/>
      <c r="BE27" s="28"/>
      <c r="BF27" s="28"/>
    </row>
    <row r="28" spans="1:58" s="534" customFormat="1" ht="11.25">
      <c r="A28" s="509" t="s">
        <v>227</v>
      </c>
      <c r="B28" s="509" t="s">
        <v>60</v>
      </c>
      <c r="C28" s="425">
        <f>C29+C30</f>
        <v>0</v>
      </c>
      <c r="D28" s="337">
        <f t="shared" ref="D28:X28" si="19">D29+D30</f>
        <v>-0.19999999999999996</v>
      </c>
      <c r="E28" s="337">
        <f t="shared" si="19"/>
        <v>1.6</v>
      </c>
      <c r="F28" s="337">
        <f t="shared" si="19"/>
        <v>-0.59999999999999964</v>
      </c>
      <c r="G28" s="425">
        <f t="shared" si="19"/>
        <v>0.69999999999999973</v>
      </c>
      <c r="H28" s="337">
        <f t="shared" si="19"/>
        <v>-0.70000000000000284</v>
      </c>
      <c r="I28" s="337">
        <f t="shared" si="19"/>
        <v>2.5</v>
      </c>
      <c r="J28" s="338">
        <f t="shared" si="19"/>
        <v>2.0999999999999659</v>
      </c>
      <c r="K28" s="425">
        <f t="shared" si="19"/>
        <v>18</v>
      </c>
      <c r="L28" s="337">
        <f t="shared" si="19"/>
        <v>5.7999999999999972</v>
      </c>
      <c r="M28" s="337">
        <f t="shared" si="19"/>
        <v>-6.8000000000000043</v>
      </c>
      <c r="N28" s="338">
        <f t="shared" si="19"/>
        <v>3.2999999999999972</v>
      </c>
      <c r="O28" s="425">
        <f t="shared" si="19"/>
        <v>-7</v>
      </c>
      <c r="P28" s="337">
        <f t="shared" si="19"/>
        <v>-15.300000000000011</v>
      </c>
      <c r="Q28" s="337">
        <f t="shared" si="19"/>
        <v>-7.9000000000000057</v>
      </c>
      <c r="R28" s="338">
        <f t="shared" si="19"/>
        <v>18</v>
      </c>
      <c r="S28" s="425">
        <f t="shared" si="19"/>
        <v>-15.899999999999991</v>
      </c>
      <c r="T28" s="337">
        <f t="shared" si="19"/>
        <v>-5.6000000000000085</v>
      </c>
      <c r="U28" s="337">
        <f t="shared" si="19"/>
        <v>-21.900000000000006</v>
      </c>
      <c r="V28" s="338">
        <f t="shared" si="19"/>
        <v>7.6999999999999993</v>
      </c>
      <c r="W28" s="337">
        <f t="shared" si="19"/>
        <v>2.3999999999999986</v>
      </c>
      <c r="X28" s="337">
        <f t="shared" si="19"/>
        <v>-5.6000000000000014</v>
      </c>
      <c r="Y28" s="337">
        <f t="shared" ref="Y28:AI28" si="20">Y29+Y30</f>
        <v>-2.1000000000000085</v>
      </c>
      <c r="Z28" s="338">
        <f t="shared" si="20"/>
        <v>-4.1999999999999957</v>
      </c>
      <c r="AA28" s="337">
        <f t="shared" si="20"/>
        <v>2.2000000000000028</v>
      </c>
      <c r="AB28" s="337">
        <f t="shared" si="20"/>
        <v>10.099999999999994</v>
      </c>
      <c r="AC28" s="337">
        <f t="shared" si="20"/>
        <v>15.999999999999998</v>
      </c>
      <c r="AD28" s="338">
        <f t="shared" si="20"/>
        <v>4.0999999999999996</v>
      </c>
      <c r="AE28" s="337">
        <f t="shared" si="20"/>
        <v>-0.30000000000000426</v>
      </c>
      <c r="AF28" s="337">
        <f t="shared" si="20"/>
        <v>3.9000000000000057</v>
      </c>
      <c r="AG28" s="337">
        <f t="shared" si="20"/>
        <v>6.9000000000000057</v>
      </c>
      <c r="AH28" s="338">
        <f t="shared" si="20"/>
        <v>-1.8999999999999986</v>
      </c>
      <c r="AI28" s="337">
        <f t="shared" si="20"/>
        <v>11.4</v>
      </c>
      <c r="AJ28" s="337">
        <f t="shared" ref="AJ28:AU28" si="21">AJ29+AJ30</f>
        <v>3.1000000000000085</v>
      </c>
      <c r="AK28" s="337">
        <f t="shared" si="21"/>
        <v>2.8999999999999986</v>
      </c>
      <c r="AL28" s="338">
        <f t="shared" si="21"/>
        <v>4.4000000000000021</v>
      </c>
      <c r="AM28" s="337">
        <f t="shared" si="21"/>
        <v>-2.6000000000000014</v>
      </c>
      <c r="AN28" s="337">
        <f t="shared" si="21"/>
        <v>0.59999999999999964</v>
      </c>
      <c r="AO28" s="337">
        <f t="shared" si="21"/>
        <v>0.90000000000000568</v>
      </c>
      <c r="AP28" s="338">
        <f t="shared" si="21"/>
        <v>-0.60000000000002274</v>
      </c>
      <c r="AQ28" s="425">
        <f t="shared" si="21"/>
        <v>1.6000000000000014</v>
      </c>
      <c r="AR28" s="337">
        <f t="shared" si="21"/>
        <v>8</v>
      </c>
      <c r="AS28" s="337">
        <f t="shared" si="21"/>
        <v>2.8999999999999986</v>
      </c>
      <c r="AT28" s="337">
        <f t="shared" si="21"/>
        <v>4.5000000000000036</v>
      </c>
      <c r="AU28" s="407">
        <f t="shared" si="21"/>
        <v>2.2999999999999972</v>
      </c>
      <c r="AV28" s="337">
        <f>AV29+AV30</f>
        <v>2.7999999999999989</v>
      </c>
      <c r="AW28" s="337">
        <f>AW29+AW30</f>
        <v>0</v>
      </c>
      <c r="AX28" s="337">
        <f>AX29+AX30</f>
        <v>5.7999999999999972</v>
      </c>
      <c r="AY28" s="407">
        <f t="shared" ref="AY28:AZ28" si="22">AY29+AY30</f>
        <v>2.3000000000000007</v>
      </c>
      <c r="AZ28" s="337">
        <f t="shared" si="22"/>
        <v>3.0999999999999979</v>
      </c>
      <c r="BA28" s="337">
        <f t="shared" ref="BA28:BC28" si="23">BA29+BA30</f>
        <v>1.0999999999999943</v>
      </c>
      <c r="BB28" s="337">
        <f t="shared" si="23"/>
        <v>1.7000000000000028</v>
      </c>
      <c r="BC28" s="407">
        <f t="shared" si="23"/>
        <v>29.600000000000023</v>
      </c>
      <c r="BD28" s="337">
        <f t="shared" ref="BD28:BE28" si="24">BD29+BD30</f>
        <v>7</v>
      </c>
      <c r="BE28" s="337">
        <f t="shared" si="24"/>
        <v>-13.7</v>
      </c>
      <c r="BF28" s="337">
        <f t="shared" ref="BF28" si="25">BF29+BF30</f>
        <v>-3</v>
      </c>
    </row>
    <row r="29" spans="1:58" s="534" customFormat="1" ht="11.25">
      <c r="A29" s="411" t="s">
        <v>228</v>
      </c>
      <c r="B29" s="411" t="s">
        <v>63</v>
      </c>
      <c r="C29" s="425">
        <v>0</v>
      </c>
      <c r="D29" s="337">
        <v>-1.2</v>
      </c>
      <c r="E29" s="337">
        <v>1</v>
      </c>
      <c r="F29" s="337">
        <v>-5.0999999999999996</v>
      </c>
      <c r="G29" s="425">
        <v>3.8</v>
      </c>
      <c r="H29" s="337">
        <v>71.3</v>
      </c>
      <c r="I29" s="337">
        <v>-16.3</v>
      </c>
      <c r="J29" s="338">
        <v>268.2</v>
      </c>
      <c r="K29" s="425">
        <v>-24.6</v>
      </c>
      <c r="L29" s="337">
        <v>-112.4</v>
      </c>
      <c r="M29" s="337">
        <v>61.1</v>
      </c>
      <c r="N29" s="338">
        <v>-66.400000000000006</v>
      </c>
      <c r="O29" s="425">
        <v>133.1</v>
      </c>
      <c r="P29" s="337">
        <v>129.19999999999999</v>
      </c>
      <c r="Q29" s="337">
        <v>76.099999999999994</v>
      </c>
      <c r="R29" s="338">
        <v>-224.1</v>
      </c>
      <c r="S29" s="425">
        <v>-128.69999999999999</v>
      </c>
      <c r="T29" s="337">
        <v>76.3</v>
      </c>
      <c r="U29" s="337">
        <v>205.9</v>
      </c>
      <c r="V29" s="338">
        <v>20.399999999999999</v>
      </c>
      <c r="W29" s="337">
        <v>33.799999999999997</v>
      </c>
      <c r="X29" s="337">
        <v>57.8</v>
      </c>
      <c r="Y29" s="337">
        <v>70.099999999999994</v>
      </c>
      <c r="Z29" s="338">
        <v>42.2</v>
      </c>
      <c r="AA29" s="337">
        <f>-66.6+20.9</f>
        <v>-45.699999999999996</v>
      </c>
      <c r="AB29" s="337">
        <f>-123.2-6.8</f>
        <v>-130</v>
      </c>
      <c r="AC29" s="337">
        <f>-1.1-3</f>
        <v>-4.0999999999999996</v>
      </c>
      <c r="AD29" s="338">
        <v>-13.4</v>
      </c>
      <c r="AE29" s="337">
        <f>53.6-0.2</f>
        <v>53.4</v>
      </c>
      <c r="AF29" s="337">
        <v>93.7</v>
      </c>
      <c r="AG29" s="337">
        <v>65.400000000000006</v>
      </c>
      <c r="AH29" s="338">
        <v>22</v>
      </c>
      <c r="AI29" s="337">
        <v>1.3</v>
      </c>
      <c r="AJ29" s="337">
        <v>-112.8</v>
      </c>
      <c r="AK29" s="337">
        <v>22.2</v>
      </c>
      <c r="AL29" s="338">
        <v>-23.9</v>
      </c>
      <c r="AM29" s="337">
        <v>46.3</v>
      </c>
      <c r="AN29" s="337">
        <v>-15.1</v>
      </c>
      <c r="AO29" s="337">
        <v>-82.1</v>
      </c>
      <c r="AP29" s="338">
        <v>-225.8</v>
      </c>
      <c r="AQ29" s="425">
        <v>-25.9</v>
      </c>
      <c r="AR29" s="337">
        <v>-19</v>
      </c>
      <c r="AS29" s="337">
        <v>-25.6</v>
      </c>
      <c r="AT29" s="337">
        <v>-28.7</v>
      </c>
      <c r="AU29" s="407">
        <v>53.3</v>
      </c>
      <c r="AV29" s="337">
        <v>-14.9</v>
      </c>
      <c r="AW29" s="337">
        <v>-21.7</v>
      </c>
      <c r="AX29" s="337">
        <v>112.8</v>
      </c>
      <c r="AY29" s="407">
        <v>30.2</v>
      </c>
      <c r="AZ29" s="337">
        <v>21.599999999999998</v>
      </c>
      <c r="BA29" s="337">
        <v>50.3</v>
      </c>
      <c r="BB29" s="337">
        <v>-67.8</v>
      </c>
      <c r="BC29" s="407">
        <v>314.60000000000002</v>
      </c>
      <c r="BD29" s="337">
        <v>108.6</v>
      </c>
      <c r="BE29" s="337">
        <v>-25.2</v>
      </c>
      <c r="BF29" s="337">
        <v>-81.3</v>
      </c>
    </row>
    <row r="30" spans="1:58" s="534" customFormat="1" ht="11.25">
      <c r="A30" s="411" t="s">
        <v>229</v>
      </c>
      <c r="B30" s="411" t="s">
        <v>64</v>
      </c>
      <c r="C30" s="425">
        <v>0</v>
      </c>
      <c r="D30" s="337">
        <v>1</v>
      </c>
      <c r="E30" s="337">
        <v>0.6</v>
      </c>
      <c r="F30" s="337">
        <v>4.5</v>
      </c>
      <c r="G30" s="425">
        <v>-3.1</v>
      </c>
      <c r="H30" s="337">
        <v>-72</v>
      </c>
      <c r="I30" s="337">
        <v>18.8</v>
      </c>
      <c r="J30" s="338">
        <v>-266.10000000000002</v>
      </c>
      <c r="K30" s="425">
        <v>42.6</v>
      </c>
      <c r="L30" s="337">
        <v>118.2</v>
      </c>
      <c r="M30" s="337">
        <v>-67.900000000000006</v>
      </c>
      <c r="N30" s="338">
        <v>69.7</v>
      </c>
      <c r="O30" s="425">
        <v>-140.1</v>
      </c>
      <c r="P30" s="337">
        <v>-144.5</v>
      </c>
      <c r="Q30" s="337">
        <v>-84</v>
      </c>
      <c r="R30" s="338">
        <v>242.1</v>
      </c>
      <c r="S30" s="425">
        <v>112.8</v>
      </c>
      <c r="T30" s="337">
        <v>-81.900000000000006</v>
      </c>
      <c r="U30" s="337">
        <v>-227.8</v>
      </c>
      <c r="V30" s="338">
        <v>-12.7</v>
      </c>
      <c r="W30" s="337">
        <v>-31.4</v>
      </c>
      <c r="X30" s="337">
        <v>-63.4</v>
      </c>
      <c r="Y30" s="337">
        <v>-72.2</v>
      </c>
      <c r="Z30" s="338">
        <v>-46.4</v>
      </c>
      <c r="AA30" s="337">
        <f>46.9+1</f>
        <v>47.9</v>
      </c>
      <c r="AB30" s="337">
        <f>134.9+5.2</f>
        <v>140.1</v>
      </c>
      <c r="AC30" s="337">
        <f>3.9+16.2</f>
        <v>20.099999999999998</v>
      </c>
      <c r="AD30" s="338">
        <v>17.5</v>
      </c>
      <c r="AE30" s="337">
        <f>-54.1+0.4</f>
        <v>-53.7</v>
      </c>
      <c r="AF30" s="337">
        <v>-89.8</v>
      </c>
      <c r="AG30" s="337">
        <v>-58.5</v>
      </c>
      <c r="AH30" s="338">
        <v>-23.9</v>
      </c>
      <c r="AI30" s="337">
        <v>10.1</v>
      </c>
      <c r="AJ30" s="337">
        <v>115.9</v>
      </c>
      <c r="AK30" s="337">
        <v>-19.3</v>
      </c>
      <c r="AL30" s="338">
        <v>28.3</v>
      </c>
      <c r="AM30" s="337">
        <v>-48.9</v>
      </c>
      <c r="AN30" s="337">
        <v>15.7</v>
      </c>
      <c r="AO30" s="337">
        <v>83</v>
      </c>
      <c r="AP30" s="338">
        <v>225.2</v>
      </c>
      <c r="AQ30" s="425">
        <v>27.5</v>
      </c>
      <c r="AR30" s="337">
        <v>27</v>
      </c>
      <c r="AS30" s="337">
        <v>28.5</v>
      </c>
      <c r="AT30" s="337">
        <v>33.200000000000003</v>
      </c>
      <c r="AU30" s="407">
        <v>-51</v>
      </c>
      <c r="AV30" s="337">
        <v>17.7</v>
      </c>
      <c r="AW30" s="337">
        <v>21.7</v>
      </c>
      <c r="AX30" s="337">
        <v>-107</v>
      </c>
      <c r="AY30" s="407">
        <v>-27.9</v>
      </c>
      <c r="AZ30" s="337">
        <v>-18.5</v>
      </c>
      <c r="BA30" s="337">
        <v>-49.2</v>
      </c>
      <c r="BB30" s="337">
        <v>69.5</v>
      </c>
      <c r="BC30" s="407">
        <v>-285</v>
      </c>
      <c r="BD30" s="337">
        <v>-101.6</v>
      </c>
      <c r="BE30" s="337">
        <v>11.5</v>
      </c>
      <c r="BF30" s="337">
        <v>78.3</v>
      </c>
    </row>
    <row r="31" spans="1:58" s="537" customFormat="1" ht="11.25">
      <c r="A31" s="509" t="s">
        <v>230</v>
      </c>
      <c r="B31" s="509" t="s">
        <v>61</v>
      </c>
      <c r="C31" s="425">
        <f>C32</f>
        <v>0</v>
      </c>
      <c r="D31" s="337">
        <f t="shared" ref="D31:W31" si="26">D32</f>
        <v>0</v>
      </c>
      <c r="E31" s="337">
        <f t="shared" si="26"/>
        <v>0</v>
      </c>
      <c r="F31" s="337">
        <f t="shared" si="26"/>
        <v>0</v>
      </c>
      <c r="G31" s="425">
        <f t="shared" si="26"/>
        <v>0</v>
      </c>
      <c r="H31" s="337">
        <f t="shared" si="26"/>
        <v>0</v>
      </c>
      <c r="I31" s="337">
        <f t="shared" si="26"/>
        <v>0.2</v>
      </c>
      <c r="J31" s="337">
        <f t="shared" si="26"/>
        <v>-0.2</v>
      </c>
      <c r="K31" s="425">
        <f t="shared" si="26"/>
        <v>-0.1</v>
      </c>
      <c r="L31" s="337">
        <f t="shared" si="26"/>
        <v>0.2</v>
      </c>
      <c r="M31" s="337">
        <f t="shared" si="26"/>
        <v>0.1</v>
      </c>
      <c r="N31" s="337">
        <f t="shared" si="26"/>
        <v>-0.4</v>
      </c>
      <c r="O31" s="425">
        <f t="shared" si="26"/>
        <v>0.1</v>
      </c>
      <c r="P31" s="337">
        <f t="shared" si="26"/>
        <v>0</v>
      </c>
      <c r="Q31" s="337">
        <f t="shared" si="26"/>
        <v>0</v>
      </c>
      <c r="R31" s="337">
        <f t="shared" si="26"/>
        <v>0</v>
      </c>
      <c r="S31" s="425">
        <f t="shared" si="26"/>
        <v>-0.4</v>
      </c>
      <c r="T31" s="337">
        <f t="shared" si="26"/>
        <v>2.4</v>
      </c>
      <c r="U31" s="337">
        <f t="shared" si="26"/>
        <v>-1.7</v>
      </c>
      <c r="V31" s="337">
        <f t="shared" si="26"/>
        <v>2</v>
      </c>
      <c r="W31" s="425">
        <f t="shared" si="26"/>
        <v>-0.7</v>
      </c>
      <c r="X31" s="337">
        <f t="shared" ref="X31:AG31" si="27">SUM(X32)</f>
        <v>0.4</v>
      </c>
      <c r="Y31" s="337">
        <f t="shared" si="27"/>
        <v>-3.4</v>
      </c>
      <c r="Z31" s="338">
        <f t="shared" si="27"/>
        <v>-0.1</v>
      </c>
      <c r="AA31" s="337">
        <f t="shared" si="27"/>
        <v>0.7</v>
      </c>
      <c r="AB31" s="337">
        <f t="shared" si="27"/>
        <v>-0.2</v>
      </c>
      <c r="AC31" s="337">
        <f t="shared" si="27"/>
        <v>-0.5</v>
      </c>
      <c r="AD31" s="338">
        <f t="shared" si="27"/>
        <v>-0.4</v>
      </c>
      <c r="AE31" s="337">
        <f t="shared" si="27"/>
        <v>1.1000000000000001</v>
      </c>
      <c r="AF31" s="337">
        <f t="shared" si="27"/>
        <v>-0.9</v>
      </c>
      <c r="AG31" s="337">
        <f t="shared" si="27"/>
        <v>0.3</v>
      </c>
      <c r="AH31" s="338">
        <v>-0.2</v>
      </c>
      <c r="AI31" s="337">
        <v>0</v>
      </c>
      <c r="AJ31" s="337">
        <f>SUM(AJ32)</f>
        <v>0.2</v>
      </c>
      <c r="AK31" s="337">
        <f>SUM(AK32)</f>
        <v>-0.3</v>
      </c>
      <c r="AL31" s="338">
        <f>SUM(AL32)</f>
        <v>1.2</v>
      </c>
      <c r="AM31" s="337">
        <v>0</v>
      </c>
      <c r="AN31" s="337">
        <v>-0.1</v>
      </c>
      <c r="AO31" s="337">
        <v>-0.7</v>
      </c>
      <c r="AP31" s="338">
        <v>-0.1</v>
      </c>
      <c r="AQ31" s="425">
        <f>AQ32</f>
        <v>0.4</v>
      </c>
      <c r="AR31" s="337">
        <f t="shared" ref="AR31:BF31" si="28">AR32</f>
        <v>0.3</v>
      </c>
      <c r="AS31" s="337">
        <f t="shared" si="28"/>
        <v>-1.6</v>
      </c>
      <c r="AT31" s="337">
        <f t="shared" si="28"/>
        <v>-0.79999999999999993</v>
      </c>
      <c r="AU31" s="407">
        <f t="shared" si="28"/>
        <v>-0.1</v>
      </c>
      <c r="AV31" s="337">
        <f t="shared" si="28"/>
        <v>-0.8</v>
      </c>
      <c r="AW31" s="337">
        <f t="shared" si="28"/>
        <v>-0.7</v>
      </c>
      <c r="AX31" s="337">
        <f t="shared" si="28"/>
        <v>-1.4</v>
      </c>
      <c r="AY31" s="425">
        <f t="shared" si="28"/>
        <v>-3.5</v>
      </c>
      <c r="AZ31" s="337">
        <f t="shared" si="28"/>
        <v>-4</v>
      </c>
      <c r="BA31" s="337">
        <f t="shared" si="28"/>
        <v>-7.8</v>
      </c>
      <c r="BB31" s="337">
        <f t="shared" si="28"/>
        <v>-7.2</v>
      </c>
      <c r="BC31" s="425">
        <f t="shared" si="28"/>
        <v>-5.9</v>
      </c>
      <c r="BD31" s="337">
        <f t="shared" si="28"/>
        <v>-2.1</v>
      </c>
      <c r="BE31" s="337">
        <f t="shared" si="28"/>
        <v>-0.4</v>
      </c>
      <c r="BF31" s="337">
        <f t="shared" si="28"/>
        <v>0</v>
      </c>
    </row>
    <row r="32" spans="1:58" s="534" customFormat="1" ht="11.25">
      <c r="A32" s="535" t="s">
        <v>231</v>
      </c>
      <c r="B32" s="535" t="s">
        <v>65</v>
      </c>
      <c r="C32" s="425">
        <v>0</v>
      </c>
      <c r="D32" s="337">
        <v>0</v>
      </c>
      <c r="E32" s="337">
        <v>0</v>
      </c>
      <c r="F32" s="337">
        <v>0</v>
      </c>
      <c r="G32" s="425">
        <v>0</v>
      </c>
      <c r="H32" s="337">
        <v>0</v>
      </c>
      <c r="I32" s="337">
        <v>0.2</v>
      </c>
      <c r="J32" s="338">
        <v>-0.2</v>
      </c>
      <c r="K32" s="425">
        <v>-0.1</v>
      </c>
      <c r="L32" s="337">
        <v>0.2</v>
      </c>
      <c r="M32" s="337">
        <v>0.1</v>
      </c>
      <c r="N32" s="338">
        <v>-0.4</v>
      </c>
      <c r="O32" s="425">
        <v>0.1</v>
      </c>
      <c r="P32" s="337">
        <v>0</v>
      </c>
      <c r="Q32" s="337">
        <v>0</v>
      </c>
      <c r="R32" s="338">
        <v>0</v>
      </c>
      <c r="S32" s="425">
        <v>-0.4</v>
      </c>
      <c r="T32" s="337">
        <v>2.4</v>
      </c>
      <c r="U32" s="337">
        <v>-1.7</v>
      </c>
      <c r="V32" s="338">
        <v>2</v>
      </c>
      <c r="W32" s="337">
        <v>-0.7</v>
      </c>
      <c r="X32" s="337">
        <v>0.4</v>
      </c>
      <c r="Y32" s="337">
        <v>-3.4</v>
      </c>
      <c r="Z32" s="338">
        <v>-0.1</v>
      </c>
      <c r="AA32" s="337">
        <v>0.7</v>
      </c>
      <c r="AB32" s="337">
        <v>-0.2</v>
      </c>
      <c r="AC32" s="337">
        <v>-0.5</v>
      </c>
      <c r="AD32" s="338">
        <v>-0.4</v>
      </c>
      <c r="AE32" s="337">
        <v>1.1000000000000001</v>
      </c>
      <c r="AF32" s="337">
        <v>-0.9</v>
      </c>
      <c r="AG32" s="337">
        <v>0.3</v>
      </c>
      <c r="AH32" s="338">
        <v>-0.2</v>
      </c>
      <c r="AI32" s="337">
        <v>0</v>
      </c>
      <c r="AJ32" s="337">
        <v>0.2</v>
      </c>
      <c r="AK32" s="337">
        <v>-0.3</v>
      </c>
      <c r="AL32" s="338">
        <v>1.2</v>
      </c>
      <c r="AM32" s="337">
        <v>0</v>
      </c>
      <c r="AN32" s="337">
        <v>-0.1</v>
      </c>
      <c r="AO32" s="337">
        <v>-0.7</v>
      </c>
      <c r="AP32" s="338">
        <v>-0.1</v>
      </c>
      <c r="AQ32" s="425">
        <v>0.4</v>
      </c>
      <c r="AR32" s="337">
        <v>0.3</v>
      </c>
      <c r="AS32" s="337">
        <v>-1.6</v>
      </c>
      <c r="AT32" s="337">
        <v>-0.79999999999999993</v>
      </c>
      <c r="AU32" s="407">
        <v>-0.1</v>
      </c>
      <c r="AV32" s="337">
        <v>-0.8</v>
      </c>
      <c r="AW32" s="337">
        <v>-0.7</v>
      </c>
      <c r="AX32" s="337">
        <v>-1.4</v>
      </c>
      <c r="AY32" s="407">
        <v>-3.5</v>
      </c>
      <c r="AZ32" s="337">
        <v>-4</v>
      </c>
      <c r="BA32" s="337">
        <v>-7.8</v>
      </c>
      <c r="BB32" s="337">
        <v>-7.2</v>
      </c>
      <c r="BC32" s="407">
        <v>-5.9</v>
      </c>
      <c r="BD32" s="337">
        <v>-2.1</v>
      </c>
      <c r="BE32" s="337">
        <v>-0.4</v>
      </c>
      <c r="BF32" s="337">
        <v>0</v>
      </c>
    </row>
    <row r="33" spans="1:58" s="176" customFormat="1" ht="11.25">
      <c r="A33" s="51" t="s">
        <v>232</v>
      </c>
      <c r="B33" s="51" t="s">
        <v>66</v>
      </c>
      <c r="C33" s="37">
        <f>C28+C31</f>
        <v>0</v>
      </c>
      <c r="D33" s="38">
        <f t="shared" ref="D33:X33" si="29">D28+D31</f>
        <v>-0.19999999999999996</v>
      </c>
      <c r="E33" s="38">
        <f t="shared" si="29"/>
        <v>1.6</v>
      </c>
      <c r="F33" s="38">
        <f t="shared" si="29"/>
        <v>-0.59999999999999964</v>
      </c>
      <c r="G33" s="37">
        <f t="shared" si="29"/>
        <v>0.69999999999999973</v>
      </c>
      <c r="H33" s="38">
        <f t="shared" si="29"/>
        <v>-0.70000000000000284</v>
      </c>
      <c r="I33" s="38">
        <f t="shared" si="29"/>
        <v>2.7</v>
      </c>
      <c r="J33" s="39">
        <f t="shared" si="29"/>
        <v>1.8999999999999659</v>
      </c>
      <c r="K33" s="37">
        <f t="shared" si="29"/>
        <v>17.899999999999999</v>
      </c>
      <c r="L33" s="38">
        <f t="shared" si="29"/>
        <v>5.9999999999999973</v>
      </c>
      <c r="M33" s="38">
        <f t="shared" si="29"/>
        <v>-6.7000000000000046</v>
      </c>
      <c r="N33" s="39">
        <f t="shared" si="29"/>
        <v>2.8999999999999972</v>
      </c>
      <c r="O33" s="37">
        <f t="shared" si="29"/>
        <v>-6.9</v>
      </c>
      <c r="P33" s="38">
        <f t="shared" si="29"/>
        <v>-15.300000000000011</v>
      </c>
      <c r="Q33" s="38">
        <f t="shared" si="29"/>
        <v>-7.9000000000000057</v>
      </c>
      <c r="R33" s="39">
        <f t="shared" si="29"/>
        <v>18</v>
      </c>
      <c r="S33" s="37">
        <f t="shared" si="29"/>
        <v>-16.29999999999999</v>
      </c>
      <c r="T33" s="38">
        <f t="shared" si="29"/>
        <v>-3.2000000000000086</v>
      </c>
      <c r="U33" s="38">
        <f t="shared" si="29"/>
        <v>-23.600000000000005</v>
      </c>
      <c r="V33" s="39">
        <f t="shared" si="29"/>
        <v>9.6999999999999993</v>
      </c>
      <c r="W33" s="38">
        <f t="shared" si="29"/>
        <v>1.6999999999999986</v>
      </c>
      <c r="X33" s="38">
        <f t="shared" si="29"/>
        <v>-5.2000000000000011</v>
      </c>
      <c r="Y33" s="38">
        <f t="shared" ref="Y33:AI33" si="30">Y28+Y31</f>
        <v>-5.5000000000000089</v>
      </c>
      <c r="Z33" s="39">
        <f t="shared" si="30"/>
        <v>-4.2999999999999954</v>
      </c>
      <c r="AA33" s="38">
        <f t="shared" si="30"/>
        <v>2.900000000000003</v>
      </c>
      <c r="AB33" s="38">
        <f t="shared" si="30"/>
        <v>9.899999999999995</v>
      </c>
      <c r="AC33" s="38">
        <f t="shared" si="30"/>
        <v>15.499999999999998</v>
      </c>
      <c r="AD33" s="39">
        <f t="shared" si="30"/>
        <v>3.6999999999999997</v>
      </c>
      <c r="AE33" s="38">
        <f t="shared" si="30"/>
        <v>0.79999999999999583</v>
      </c>
      <c r="AF33" s="38">
        <f t="shared" si="30"/>
        <v>3.0000000000000058</v>
      </c>
      <c r="AG33" s="38">
        <f t="shared" si="30"/>
        <v>7.2000000000000055</v>
      </c>
      <c r="AH33" s="39">
        <f t="shared" si="30"/>
        <v>-2.0999999999999988</v>
      </c>
      <c r="AI33" s="38">
        <f t="shared" si="30"/>
        <v>11.4</v>
      </c>
      <c r="AJ33" s="38">
        <f t="shared" ref="AJ33:AP33" si="31">AJ28+AJ31</f>
        <v>3.3000000000000087</v>
      </c>
      <c r="AK33" s="38">
        <f t="shared" si="31"/>
        <v>2.5999999999999988</v>
      </c>
      <c r="AL33" s="39">
        <f t="shared" si="31"/>
        <v>5.6000000000000023</v>
      </c>
      <c r="AM33" s="38">
        <f t="shared" si="31"/>
        <v>-2.6000000000000014</v>
      </c>
      <c r="AN33" s="38">
        <f t="shared" si="31"/>
        <v>0.49999999999999967</v>
      </c>
      <c r="AO33" s="38">
        <f t="shared" si="31"/>
        <v>0.20000000000000573</v>
      </c>
      <c r="AP33" s="39">
        <f t="shared" si="31"/>
        <v>-0.70000000000002272</v>
      </c>
      <c r="AQ33" s="37">
        <f>+AQ28+AQ31</f>
        <v>2.0000000000000013</v>
      </c>
      <c r="AR33" s="38">
        <f t="shared" ref="AR33:AY33" si="32">+AR28+AR31</f>
        <v>8.3000000000000007</v>
      </c>
      <c r="AS33" s="38">
        <f t="shared" si="32"/>
        <v>1.2999999999999985</v>
      </c>
      <c r="AT33" s="38">
        <f t="shared" si="32"/>
        <v>3.7000000000000037</v>
      </c>
      <c r="AU33" s="74">
        <f t="shared" si="32"/>
        <v>2.1999999999999971</v>
      </c>
      <c r="AV33" s="38">
        <f t="shared" si="32"/>
        <v>1.9999999999999989</v>
      </c>
      <c r="AW33" s="38">
        <f t="shared" si="32"/>
        <v>-0.7</v>
      </c>
      <c r="AX33" s="38">
        <f t="shared" si="32"/>
        <v>4.3999999999999968</v>
      </c>
      <c r="AY33" s="74">
        <f t="shared" si="32"/>
        <v>-1.1999999999999993</v>
      </c>
      <c r="AZ33" s="38">
        <f t="shared" ref="AZ33:BA33" si="33">+AZ28+AZ31</f>
        <v>-0.90000000000000213</v>
      </c>
      <c r="BA33" s="38">
        <f t="shared" si="33"/>
        <v>-6.7000000000000055</v>
      </c>
      <c r="BB33" s="38">
        <f t="shared" ref="BB33:BC33" si="34">+BB28+BB31</f>
        <v>-5.4999999999999973</v>
      </c>
      <c r="BC33" s="74">
        <f t="shared" si="34"/>
        <v>23.700000000000024</v>
      </c>
      <c r="BD33" s="38">
        <f t="shared" ref="BD33:BE33" si="35">+BD28+BD31</f>
        <v>4.9000000000000004</v>
      </c>
      <c r="BE33" s="38">
        <f t="shared" si="35"/>
        <v>-14.1</v>
      </c>
      <c r="BF33" s="38">
        <f t="shared" ref="BF33" si="36">+BF28+BF31</f>
        <v>-3</v>
      </c>
    </row>
    <row r="34" spans="1:58">
      <c r="A34" s="13"/>
      <c r="B34" s="13"/>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J34" s="19"/>
    </row>
    <row r="35" spans="1:58">
      <c r="A35" s="13"/>
      <c r="B35" s="13"/>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J35" s="19"/>
      <c r="AZ35" s="63"/>
      <c r="BD35" s="63"/>
    </row>
    <row r="36" spans="1:58">
      <c r="A36" s="13"/>
      <c r="B36" s="13"/>
      <c r="AZ36" s="63"/>
      <c r="BD36" s="63"/>
    </row>
    <row r="37" spans="1:58">
      <c r="A37" s="13"/>
      <c r="B37" s="13"/>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row>
    <row r="38" spans="1:58">
      <c r="A38" s="13"/>
      <c r="B38" s="13"/>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J38" s="19"/>
    </row>
    <row r="39" spans="1:58">
      <c r="A39" s="13"/>
      <c r="B39" s="13"/>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J39" s="19"/>
    </row>
    <row r="40" spans="1:58">
      <c r="A40" s="13"/>
      <c r="B40" s="13"/>
      <c r="AA40" s="19"/>
      <c r="AB40" s="19"/>
      <c r="AC40" s="19"/>
      <c r="AD40" s="19"/>
      <c r="AE40" s="19"/>
      <c r="AF40" s="19"/>
      <c r="AG40" s="19"/>
      <c r="AJ40" s="19"/>
    </row>
    <row r="41" spans="1:58">
      <c r="A41" s="13"/>
      <c r="B41" s="13"/>
    </row>
  </sheetData>
  <mergeCells count="16">
    <mergeCell ref="BC2:BF2"/>
    <mergeCell ref="AY2:BB2"/>
    <mergeCell ref="AU2:AX2"/>
    <mergeCell ref="A2:A3"/>
    <mergeCell ref="B2:B3"/>
    <mergeCell ref="C2:F2"/>
    <mergeCell ref="G2:J2"/>
    <mergeCell ref="K2:N2"/>
    <mergeCell ref="AI2:AL2"/>
    <mergeCell ref="AM2:AP2"/>
    <mergeCell ref="AQ2:AT2"/>
    <mergeCell ref="O2:R2"/>
    <mergeCell ref="AE2:AH2"/>
    <mergeCell ref="AA2:AD2"/>
    <mergeCell ref="W2:Z2"/>
    <mergeCell ref="S2:V2"/>
  </mergeCells>
  <printOptions horizontalCentered="1"/>
  <pageMargins left="0.23622047244094491" right="0.23622047244094491" top="0.74803149606299213" bottom="0.74803149606299213" header="0.31496062992125984" footer="0.31496062992125984"/>
  <pageSetup paperSize="9" scale="31" orientation="landscape" r:id="rId1"/>
  <headerFooter alignWithMargins="0">
    <oddHeader xml:space="preserve">&amp;C&amp;"Times New Roman,Kursywa"&amp;12
</oddHeader>
  </headerFooter>
  <ignoredErrors>
    <ignoredError sqref="W21:AL26 W13:AL15 W28:AL33" formulaRange="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9"/>
  <sheetViews>
    <sheetView showGridLines="0" view="pageBreakPreview" zoomScaleNormal="100" zoomScaleSheetLayoutView="100" zoomScalePageLayoutView="80" workbookViewId="0">
      <pane xSplit="2" ySplit="4" topLeftCell="AN5" activePane="bottomRight" state="frozen"/>
      <selection pane="topRight" activeCell="C1" sqref="C1"/>
      <selection pane="bottomLeft" activeCell="A5" sqref="A5"/>
      <selection pane="bottomRight" activeCell="BC2" sqref="BC2:BF2"/>
    </sheetView>
  </sheetViews>
  <sheetFormatPr defaultColWidth="8.85546875" defaultRowHeight="13.5" outlineLevelCol="1"/>
  <cols>
    <col min="1" max="1" width="51.5703125" style="52" customWidth="1" outlineLevel="1"/>
    <col min="2" max="2" width="71.7109375" style="52" customWidth="1"/>
    <col min="3" max="58" width="6" style="13" customWidth="1"/>
    <col min="59" max="16384" width="8.85546875" style="13"/>
  </cols>
  <sheetData>
    <row r="1" spans="1:58">
      <c r="A1" s="53" t="s">
        <v>424</v>
      </c>
      <c r="B1" s="53" t="s">
        <v>425</v>
      </c>
      <c r="X1" s="14"/>
      <c r="Y1" s="14"/>
      <c r="Z1" s="14"/>
    </row>
    <row r="2" spans="1:58">
      <c r="A2" s="639" t="s">
        <v>553</v>
      </c>
      <c r="B2" s="639" t="s">
        <v>554</v>
      </c>
      <c r="C2" s="636">
        <v>2007</v>
      </c>
      <c r="D2" s="641"/>
      <c r="E2" s="641"/>
      <c r="F2" s="641"/>
      <c r="G2" s="636">
        <v>2008</v>
      </c>
      <c r="H2" s="641"/>
      <c r="I2" s="641"/>
      <c r="J2" s="641"/>
      <c r="K2" s="636">
        <v>2009</v>
      </c>
      <c r="L2" s="641"/>
      <c r="M2" s="641"/>
      <c r="N2" s="641"/>
      <c r="O2" s="636">
        <v>2010</v>
      </c>
      <c r="P2" s="641"/>
      <c r="Q2" s="641"/>
      <c r="R2" s="641"/>
      <c r="S2" s="636">
        <v>2011</v>
      </c>
      <c r="T2" s="641"/>
      <c r="U2" s="641"/>
      <c r="V2" s="641"/>
      <c r="W2" s="636">
        <v>2012</v>
      </c>
      <c r="X2" s="641"/>
      <c r="Y2" s="641"/>
      <c r="Z2" s="642"/>
      <c r="AA2" s="636">
        <v>2013</v>
      </c>
      <c r="AB2" s="641"/>
      <c r="AC2" s="641"/>
      <c r="AD2" s="642"/>
      <c r="AE2" s="636">
        <v>2014</v>
      </c>
      <c r="AF2" s="641"/>
      <c r="AG2" s="641"/>
      <c r="AH2" s="642"/>
      <c r="AI2" s="636">
        <v>2015</v>
      </c>
      <c r="AJ2" s="641"/>
      <c r="AK2" s="641"/>
      <c r="AL2" s="642"/>
      <c r="AM2" s="636">
        <v>2016</v>
      </c>
      <c r="AN2" s="641"/>
      <c r="AO2" s="641"/>
      <c r="AP2" s="641"/>
      <c r="AQ2" s="636">
        <v>2017</v>
      </c>
      <c r="AR2" s="641"/>
      <c r="AS2" s="641"/>
      <c r="AT2" s="641"/>
      <c r="AU2" s="636">
        <v>2018</v>
      </c>
      <c r="AV2" s="637"/>
      <c r="AW2" s="637"/>
      <c r="AX2" s="652"/>
      <c r="AY2" s="636">
        <v>2019</v>
      </c>
      <c r="AZ2" s="637"/>
      <c r="BA2" s="637"/>
      <c r="BB2" s="652"/>
      <c r="BC2" s="636">
        <v>2020</v>
      </c>
      <c r="BD2" s="637"/>
      <c r="BE2" s="637"/>
      <c r="BF2" s="652"/>
    </row>
    <row r="3" spans="1:58" s="14" customFormat="1">
      <c r="A3" s="640"/>
      <c r="B3" s="640"/>
      <c r="C3" s="20" t="s">
        <v>149</v>
      </c>
      <c r="D3" s="21" t="s">
        <v>150</v>
      </c>
      <c r="E3" s="21" t="s">
        <v>151</v>
      </c>
      <c r="F3" s="21" t="s">
        <v>152</v>
      </c>
      <c r="G3" s="20" t="s">
        <v>149</v>
      </c>
      <c r="H3" s="21" t="s">
        <v>150</v>
      </c>
      <c r="I3" s="21" t="s">
        <v>151</v>
      </c>
      <c r="J3" s="21" t="s">
        <v>152</v>
      </c>
      <c r="K3" s="20" t="s">
        <v>149</v>
      </c>
      <c r="L3" s="21" t="s">
        <v>150</v>
      </c>
      <c r="M3" s="21" t="s">
        <v>151</v>
      </c>
      <c r="N3" s="21" t="s">
        <v>152</v>
      </c>
      <c r="O3" s="20" t="s">
        <v>149</v>
      </c>
      <c r="P3" s="21" t="s">
        <v>150</v>
      </c>
      <c r="Q3" s="21" t="s">
        <v>151</v>
      </c>
      <c r="R3" s="21" t="s">
        <v>152</v>
      </c>
      <c r="S3" s="20" t="s">
        <v>149</v>
      </c>
      <c r="T3" s="21" t="s">
        <v>150</v>
      </c>
      <c r="U3" s="21" t="s">
        <v>151</v>
      </c>
      <c r="V3" s="21" t="s">
        <v>152</v>
      </c>
      <c r="W3" s="20" t="s">
        <v>149</v>
      </c>
      <c r="X3" s="21" t="s">
        <v>150</v>
      </c>
      <c r="Y3" s="21" t="s">
        <v>151</v>
      </c>
      <c r="Z3" s="43" t="s">
        <v>152</v>
      </c>
      <c r="AA3" s="21" t="s">
        <v>149</v>
      </c>
      <c r="AB3" s="21" t="s">
        <v>150</v>
      </c>
      <c r="AC3" s="21" t="s">
        <v>151</v>
      </c>
      <c r="AD3" s="43" t="s">
        <v>152</v>
      </c>
      <c r="AE3" s="21" t="s">
        <v>149</v>
      </c>
      <c r="AF3" s="21" t="s">
        <v>150</v>
      </c>
      <c r="AG3" s="21" t="s">
        <v>151</v>
      </c>
      <c r="AH3" s="43" t="s">
        <v>152</v>
      </c>
      <c r="AI3" s="21" t="s">
        <v>149</v>
      </c>
      <c r="AJ3" s="21" t="s">
        <v>150</v>
      </c>
      <c r="AK3" s="21" t="s">
        <v>151</v>
      </c>
      <c r="AL3" s="43" t="s">
        <v>152</v>
      </c>
      <c r="AM3" s="21" t="s">
        <v>149</v>
      </c>
      <c r="AN3" s="21" t="s">
        <v>150</v>
      </c>
      <c r="AO3" s="21" t="s">
        <v>151</v>
      </c>
      <c r="AP3" s="21" t="s">
        <v>152</v>
      </c>
      <c r="AQ3" s="20" t="s">
        <v>149</v>
      </c>
      <c r="AR3" s="21" t="s">
        <v>150</v>
      </c>
      <c r="AS3" s="21" t="s">
        <v>151</v>
      </c>
      <c r="AT3" s="21" t="s">
        <v>152</v>
      </c>
      <c r="AU3" s="20" t="s">
        <v>149</v>
      </c>
      <c r="AV3" s="21" t="s">
        <v>150</v>
      </c>
      <c r="AW3" s="21" t="s">
        <v>151</v>
      </c>
      <c r="AX3" s="21" t="s">
        <v>152</v>
      </c>
      <c r="AY3" s="20" t="s">
        <v>149</v>
      </c>
      <c r="AZ3" s="21" t="s">
        <v>150</v>
      </c>
      <c r="BA3" s="21" t="s">
        <v>151</v>
      </c>
      <c r="BB3" s="21" t="s">
        <v>152</v>
      </c>
      <c r="BC3" s="20" t="s">
        <v>149</v>
      </c>
      <c r="BD3" s="21" t="s">
        <v>150</v>
      </c>
      <c r="BE3" s="21" t="s">
        <v>151</v>
      </c>
      <c r="BF3" s="21" t="s">
        <v>152</v>
      </c>
    </row>
    <row r="4" spans="1:58" s="172" customFormat="1" ht="12.75" customHeight="1">
      <c r="A4" s="22" t="s">
        <v>154</v>
      </c>
      <c r="B4" s="22" t="s">
        <v>11</v>
      </c>
      <c r="C4" s="108"/>
      <c r="D4" s="109"/>
      <c r="E4" s="55"/>
      <c r="F4" s="109"/>
      <c r="G4" s="108"/>
      <c r="H4" s="109"/>
      <c r="I4" s="55"/>
      <c r="J4" s="110"/>
      <c r="K4" s="108"/>
      <c r="L4" s="109"/>
      <c r="M4" s="55"/>
      <c r="N4" s="110"/>
      <c r="O4" s="108"/>
      <c r="P4" s="109"/>
      <c r="Q4" s="55"/>
      <c r="R4" s="110"/>
      <c r="S4" s="108"/>
      <c r="T4" s="109"/>
      <c r="U4" s="55"/>
      <c r="V4" s="110"/>
      <c r="W4" s="55"/>
      <c r="X4" s="55"/>
      <c r="Y4" s="55"/>
      <c r="Z4" s="177"/>
      <c r="AA4" s="55"/>
      <c r="AB4" s="55"/>
      <c r="AC4" s="55"/>
      <c r="AD4" s="177"/>
      <c r="AE4" s="55"/>
      <c r="AF4" s="55"/>
      <c r="AG4" s="55"/>
      <c r="AH4" s="177"/>
      <c r="AI4" s="55"/>
      <c r="AJ4" s="55"/>
      <c r="AK4" s="55"/>
      <c r="AL4" s="177"/>
      <c r="AM4" s="55"/>
      <c r="AN4" s="55"/>
      <c r="AO4" s="55"/>
      <c r="AP4" s="55"/>
      <c r="AQ4" s="108"/>
      <c r="AR4" s="55"/>
      <c r="AS4" s="55"/>
      <c r="AT4" s="55"/>
      <c r="AU4" s="108"/>
      <c r="AV4" s="55"/>
      <c r="AW4" s="55"/>
      <c r="AX4" s="55"/>
      <c r="AY4" s="108"/>
      <c r="AZ4" s="55"/>
      <c r="BA4" s="55"/>
      <c r="BB4" s="55"/>
      <c r="BC4" s="108"/>
      <c r="BD4" s="55"/>
      <c r="BE4" s="55"/>
      <c r="BF4" s="55"/>
    </row>
    <row r="5" spans="1:58" s="428" customFormat="1" ht="11.25">
      <c r="A5" s="509" t="s">
        <v>556</v>
      </c>
      <c r="B5" s="509" t="s">
        <v>555</v>
      </c>
      <c r="C5" s="435">
        <v>526.80000000000007</v>
      </c>
      <c r="D5" s="436">
        <v>511.30000000000018</v>
      </c>
      <c r="E5" s="436">
        <v>532.69999999999993</v>
      </c>
      <c r="F5" s="436">
        <v>462.49999999999994</v>
      </c>
      <c r="G5" s="435">
        <v>571.1</v>
      </c>
      <c r="H5" s="436">
        <v>611.49999999999989</v>
      </c>
      <c r="I5" s="436">
        <v>607.20000000000005</v>
      </c>
      <c r="J5" s="437">
        <v>294.5</v>
      </c>
      <c r="K5" s="435">
        <v>551.29999999999984</v>
      </c>
      <c r="L5" s="436">
        <v>673.6</v>
      </c>
      <c r="M5" s="436">
        <v>697.99999999999989</v>
      </c>
      <c r="N5" s="437">
        <v>573.59999999999991</v>
      </c>
      <c r="O5" s="435">
        <v>654.69999999999993</v>
      </c>
      <c r="P5" s="436">
        <v>671.6</v>
      </c>
      <c r="Q5" s="436">
        <v>693.49999999999989</v>
      </c>
      <c r="R5" s="437">
        <v>686.19999999999993</v>
      </c>
      <c r="S5" s="435">
        <f t="shared" ref="S5:AP5" si="0">+S6+S9+S8+S7+S13</f>
        <v>417.39999999999992</v>
      </c>
      <c r="T5" s="436">
        <f t="shared" si="0"/>
        <v>431.79999999999995</v>
      </c>
      <c r="U5" s="436">
        <f t="shared" si="0"/>
        <v>431.1</v>
      </c>
      <c r="V5" s="437">
        <f t="shared" si="0"/>
        <v>419.69999999999993</v>
      </c>
      <c r="W5" s="436">
        <f t="shared" si="0"/>
        <v>474.90000000000015</v>
      </c>
      <c r="X5" s="436">
        <f t="shared" si="0"/>
        <v>464.99999999999994</v>
      </c>
      <c r="Y5" s="436">
        <f t="shared" si="0"/>
        <v>466.2000000000001</v>
      </c>
      <c r="Z5" s="437">
        <f t="shared" si="0"/>
        <v>460.09999999999997</v>
      </c>
      <c r="AA5" s="436">
        <f t="shared" si="0"/>
        <v>482.20000000000005</v>
      </c>
      <c r="AB5" s="436">
        <f t="shared" si="0"/>
        <v>476.99999999999989</v>
      </c>
      <c r="AC5" s="436">
        <f t="shared" si="0"/>
        <v>458.8</v>
      </c>
      <c r="AD5" s="437">
        <f t="shared" si="0"/>
        <v>450.4</v>
      </c>
      <c r="AE5" s="436">
        <f t="shared" si="0"/>
        <v>471.2</v>
      </c>
      <c r="AF5" s="436">
        <f t="shared" si="0"/>
        <v>480.5</v>
      </c>
      <c r="AG5" s="436">
        <f t="shared" si="0"/>
        <v>489.5</v>
      </c>
      <c r="AH5" s="437">
        <f t="shared" si="0"/>
        <v>488.50000000000006</v>
      </c>
      <c r="AI5" s="436">
        <f t="shared" si="0"/>
        <v>495.59999999999997</v>
      </c>
      <c r="AJ5" s="436">
        <f t="shared" si="0"/>
        <v>502.29999999999995</v>
      </c>
      <c r="AK5" s="436">
        <f t="shared" si="0"/>
        <v>509.80000000000013</v>
      </c>
      <c r="AL5" s="437">
        <f t="shared" si="0"/>
        <v>648</v>
      </c>
      <c r="AM5" s="436">
        <f t="shared" si="0"/>
        <v>508.79999999999995</v>
      </c>
      <c r="AN5" s="436">
        <f t="shared" si="0"/>
        <v>517.20000000000005</v>
      </c>
      <c r="AO5" s="436">
        <f t="shared" si="0"/>
        <v>515.5</v>
      </c>
      <c r="AP5" s="436">
        <f t="shared" si="0"/>
        <v>557.69999999999993</v>
      </c>
      <c r="AQ5" s="435">
        <f t="shared" ref="AQ5:BA5" si="1">SUM(AQ6:AQ13)</f>
        <v>565.6</v>
      </c>
      <c r="AR5" s="436">
        <f t="shared" si="1"/>
        <v>512.1</v>
      </c>
      <c r="AS5" s="436">
        <f t="shared" si="1"/>
        <v>529.6</v>
      </c>
      <c r="AT5" s="436">
        <f t="shared" si="1"/>
        <v>528.5</v>
      </c>
      <c r="AU5" s="435">
        <f t="shared" si="1"/>
        <v>628.29999999999995</v>
      </c>
      <c r="AV5" s="436">
        <f t="shared" si="1"/>
        <v>554.99999999999977</v>
      </c>
      <c r="AW5" s="436">
        <f t="shared" si="1"/>
        <v>577.20000000000005</v>
      </c>
      <c r="AX5" s="436">
        <f t="shared" si="1"/>
        <v>566.29999999999995</v>
      </c>
      <c r="AY5" s="435">
        <f t="shared" si="1"/>
        <v>721.1</v>
      </c>
      <c r="AZ5" s="436">
        <f t="shared" si="1"/>
        <v>581.1</v>
      </c>
      <c r="BA5" s="436">
        <f t="shared" si="1"/>
        <v>604.4</v>
      </c>
      <c r="BB5" s="436">
        <f t="shared" ref="BB5:BC5" si="2">SUM(BB6:BB13)</f>
        <v>590.79999999999995</v>
      </c>
      <c r="BC5" s="435">
        <f t="shared" si="2"/>
        <v>774.99999999999989</v>
      </c>
      <c r="BD5" s="436">
        <f t="shared" ref="BD5:BF5" si="3">SUM(BD6:BD13)</f>
        <v>638.5</v>
      </c>
      <c r="BE5" s="436">
        <f t="shared" si="3"/>
        <v>666.69999999999993</v>
      </c>
      <c r="BF5" s="436">
        <f t="shared" si="3"/>
        <v>682.3</v>
      </c>
    </row>
    <row r="6" spans="1:58" s="428" customFormat="1" ht="11.25">
      <c r="A6" s="411" t="s">
        <v>557</v>
      </c>
      <c r="B6" s="411" t="s">
        <v>719</v>
      </c>
      <c r="C6" s="425"/>
      <c r="D6" s="337"/>
      <c r="E6" s="337"/>
      <c r="F6" s="337"/>
      <c r="G6" s="425"/>
      <c r="H6" s="337"/>
      <c r="I6" s="337"/>
      <c r="J6" s="338"/>
      <c r="K6" s="425"/>
      <c r="L6" s="337"/>
      <c r="M6" s="337"/>
      <c r="N6" s="338"/>
      <c r="O6" s="425"/>
      <c r="P6" s="337"/>
      <c r="Q6" s="337"/>
      <c r="R6" s="338"/>
      <c r="S6" s="425">
        <v>199.3</v>
      </c>
      <c r="T6" s="337">
        <v>208.9</v>
      </c>
      <c r="U6" s="337">
        <v>210.8</v>
      </c>
      <c r="V6" s="338">
        <v>214.3</v>
      </c>
      <c r="W6" s="337">
        <v>228</v>
      </c>
      <c r="X6" s="337">
        <v>213.1</v>
      </c>
      <c r="Y6" s="337">
        <v>219.1</v>
      </c>
      <c r="Z6" s="338">
        <v>240.6</v>
      </c>
      <c r="AA6" s="337">
        <v>226.7</v>
      </c>
      <c r="AB6" s="337">
        <v>226.3</v>
      </c>
      <c r="AC6" s="337">
        <v>230.1</v>
      </c>
      <c r="AD6" s="338">
        <v>243.5</v>
      </c>
      <c r="AE6" s="337">
        <v>230.5</v>
      </c>
      <c r="AF6" s="337">
        <v>241.3</v>
      </c>
      <c r="AG6" s="337">
        <v>237.4</v>
      </c>
      <c r="AH6" s="338">
        <v>238.3</v>
      </c>
      <c r="AI6" s="337">
        <v>238.9</v>
      </c>
      <c r="AJ6" s="337">
        <v>237.02099999999999</v>
      </c>
      <c r="AK6" s="337">
        <v>243.81200000000001</v>
      </c>
      <c r="AL6" s="338">
        <v>252.352</v>
      </c>
      <c r="AM6" s="337">
        <v>251.5</v>
      </c>
      <c r="AN6" s="337">
        <v>251.3</v>
      </c>
      <c r="AO6" s="337">
        <v>259.8</v>
      </c>
      <c r="AP6" s="337">
        <v>276.69999999999993</v>
      </c>
      <c r="AQ6" s="425">
        <v>251.04900000000001</v>
      </c>
      <c r="AR6" s="337">
        <v>260.54199999999997</v>
      </c>
      <c r="AS6" s="337">
        <v>260.60000000000002</v>
      </c>
      <c r="AT6" s="337">
        <v>263.51600000000002</v>
      </c>
      <c r="AU6" s="425">
        <v>275.35199999999998</v>
      </c>
      <c r="AV6" s="337">
        <v>286.06</v>
      </c>
      <c r="AW6" s="337">
        <v>284.3</v>
      </c>
      <c r="AX6" s="337">
        <v>259</v>
      </c>
      <c r="AY6" s="425">
        <v>286.39999999999998</v>
      </c>
      <c r="AZ6" s="337">
        <v>292.7</v>
      </c>
      <c r="BA6" s="337">
        <v>315.89999999999998</v>
      </c>
      <c r="BB6" s="337">
        <v>307.60000000000002</v>
      </c>
      <c r="BC6" s="425">
        <v>308.2</v>
      </c>
      <c r="BD6" s="337">
        <v>310.3</v>
      </c>
      <c r="BE6" s="337">
        <v>330.90000000000003</v>
      </c>
      <c r="BF6" s="337">
        <v>364.6</v>
      </c>
    </row>
    <row r="7" spans="1:58" s="428" customFormat="1" ht="11.25">
      <c r="A7" s="508" t="s">
        <v>559</v>
      </c>
      <c r="B7" s="508" t="s">
        <v>722</v>
      </c>
      <c r="C7" s="425"/>
      <c r="D7" s="337"/>
      <c r="E7" s="337"/>
      <c r="F7" s="338"/>
      <c r="G7" s="337"/>
      <c r="H7" s="337"/>
      <c r="I7" s="337"/>
      <c r="J7" s="337"/>
      <c r="K7" s="425"/>
      <c r="L7" s="337"/>
      <c r="M7" s="337"/>
      <c r="N7" s="338"/>
      <c r="O7" s="337"/>
      <c r="P7" s="337"/>
      <c r="Q7" s="337"/>
      <c r="R7" s="337"/>
      <c r="S7" s="425">
        <v>19.170999999999999</v>
      </c>
      <c r="T7" s="337">
        <v>18.891999999999999</v>
      </c>
      <c r="U7" s="337">
        <v>20.177</v>
      </c>
      <c r="V7" s="338">
        <v>15.457000000000001</v>
      </c>
      <c r="W7" s="337">
        <v>20.305</v>
      </c>
      <c r="X7" s="337">
        <v>23.402000000000001</v>
      </c>
      <c r="Y7" s="337">
        <v>23.175000000000001</v>
      </c>
      <c r="Z7" s="338">
        <v>23.21</v>
      </c>
      <c r="AA7" s="337">
        <v>24.6</v>
      </c>
      <c r="AB7" s="337">
        <v>28.8</v>
      </c>
      <c r="AC7" s="337">
        <v>28.2</v>
      </c>
      <c r="AD7" s="338">
        <v>16.399999999999999</v>
      </c>
      <c r="AE7" s="337">
        <v>25.4</v>
      </c>
      <c r="AF7" s="337">
        <v>26.7</v>
      </c>
      <c r="AG7" s="337">
        <v>27.5</v>
      </c>
      <c r="AH7" s="338">
        <v>30.09</v>
      </c>
      <c r="AI7" s="337">
        <v>30.1</v>
      </c>
      <c r="AJ7" s="337">
        <v>30.872</v>
      </c>
      <c r="AK7" s="337">
        <v>32.155000000000001</v>
      </c>
      <c r="AL7" s="338">
        <v>23.981000000000002</v>
      </c>
      <c r="AM7" s="337">
        <v>25.5</v>
      </c>
      <c r="AN7" s="337">
        <v>24.6</v>
      </c>
      <c r="AO7" s="337">
        <v>19.300000000000004</v>
      </c>
      <c r="AP7" s="337">
        <v>25.599999999999994</v>
      </c>
      <c r="AQ7" s="425">
        <v>23.417999999999999</v>
      </c>
      <c r="AR7" s="337">
        <v>20.733000000000001</v>
      </c>
      <c r="AS7" s="337">
        <v>33.518999999999998</v>
      </c>
      <c r="AT7" s="337">
        <v>29.164999999999999</v>
      </c>
      <c r="AU7" s="425">
        <v>29.504999999999999</v>
      </c>
      <c r="AV7" s="337">
        <v>26</v>
      </c>
      <c r="AW7" s="337">
        <v>31.3</v>
      </c>
      <c r="AX7" s="337">
        <v>31.3</v>
      </c>
      <c r="AY7" s="425">
        <v>29.7</v>
      </c>
      <c r="AZ7" s="337">
        <v>28.4</v>
      </c>
      <c r="BA7" s="337">
        <v>30.4</v>
      </c>
      <c r="BB7" s="337">
        <v>30.9</v>
      </c>
      <c r="BC7" s="425">
        <v>27.6</v>
      </c>
      <c r="BD7" s="337">
        <v>24.2</v>
      </c>
      <c r="BE7" s="337">
        <v>32.4</v>
      </c>
      <c r="BF7" s="337">
        <v>39.1</v>
      </c>
    </row>
    <row r="8" spans="1:58" s="418" customFormat="1" ht="11.25">
      <c r="A8" s="508" t="s">
        <v>854</v>
      </c>
      <c r="B8" s="508" t="s">
        <v>721</v>
      </c>
      <c r="C8" s="425"/>
      <c r="D8" s="337"/>
      <c r="E8" s="337"/>
      <c r="F8" s="337"/>
      <c r="G8" s="425"/>
      <c r="H8" s="337"/>
      <c r="I8" s="337"/>
      <c r="J8" s="338"/>
      <c r="K8" s="425"/>
      <c r="L8" s="337"/>
      <c r="M8" s="337"/>
      <c r="N8" s="338"/>
      <c r="O8" s="425"/>
      <c r="P8" s="337"/>
      <c r="Q8" s="337"/>
      <c r="R8" s="338"/>
      <c r="S8" s="425">
        <v>30.5</v>
      </c>
      <c r="T8" s="337">
        <v>31.9</v>
      </c>
      <c r="U8" s="337">
        <v>34</v>
      </c>
      <c r="V8" s="338">
        <v>36.200000000000003</v>
      </c>
      <c r="W8" s="337">
        <v>33.6</v>
      </c>
      <c r="X8" s="337">
        <v>34.700000000000003</v>
      </c>
      <c r="Y8" s="337">
        <v>35.1</v>
      </c>
      <c r="Z8" s="338">
        <v>44.7</v>
      </c>
      <c r="AA8" s="337">
        <v>39.9</v>
      </c>
      <c r="AB8" s="337">
        <v>40.700000000000003</v>
      </c>
      <c r="AC8" s="337">
        <v>39.299999999999997</v>
      </c>
      <c r="AD8" s="338">
        <v>44.1</v>
      </c>
      <c r="AE8" s="337">
        <v>38</v>
      </c>
      <c r="AF8" s="337">
        <v>38.5</v>
      </c>
      <c r="AG8" s="337">
        <v>39.6</v>
      </c>
      <c r="AH8" s="338">
        <v>58.98</v>
      </c>
      <c r="AI8" s="337">
        <v>41.8</v>
      </c>
      <c r="AJ8" s="337">
        <v>43.454999999999998</v>
      </c>
      <c r="AK8" s="337">
        <v>46.796999999999997</v>
      </c>
      <c r="AL8" s="338">
        <v>57.148000000000003</v>
      </c>
      <c r="AM8" s="337">
        <v>42.2</v>
      </c>
      <c r="AN8" s="337">
        <v>45.599999999999994</v>
      </c>
      <c r="AO8" s="337">
        <v>46.100000000000009</v>
      </c>
      <c r="AP8" s="337">
        <v>76.699999999999989</v>
      </c>
      <c r="AQ8" s="425">
        <v>46.045999999999999</v>
      </c>
      <c r="AR8" s="337">
        <v>44.904000000000003</v>
      </c>
      <c r="AS8" s="337">
        <v>44.573999999999998</v>
      </c>
      <c r="AT8" s="337">
        <v>46.83</v>
      </c>
      <c r="AU8" s="425">
        <v>43.734000000000002</v>
      </c>
      <c r="AV8" s="337">
        <v>44.808</v>
      </c>
      <c r="AW8" s="337">
        <v>45.7</v>
      </c>
      <c r="AX8" s="337">
        <v>59.3</v>
      </c>
      <c r="AY8" s="425">
        <v>71.3</v>
      </c>
      <c r="AZ8" s="337">
        <v>67.8</v>
      </c>
      <c r="BA8" s="337">
        <v>67.3</v>
      </c>
      <c r="BB8" s="337">
        <v>70.400000000000006</v>
      </c>
      <c r="BC8" s="425">
        <v>71.5</v>
      </c>
      <c r="BD8" s="337">
        <v>71.900000000000006</v>
      </c>
      <c r="BE8" s="337">
        <v>72.5</v>
      </c>
      <c r="BF8" s="337">
        <v>78.3</v>
      </c>
    </row>
    <row r="9" spans="1:58" s="428" customFormat="1" ht="12.75" customHeight="1">
      <c r="A9" s="411" t="s">
        <v>852</v>
      </c>
      <c r="B9" s="411" t="s">
        <v>850</v>
      </c>
      <c r="C9" s="425"/>
      <c r="D9" s="337"/>
      <c r="E9" s="337"/>
      <c r="F9" s="337"/>
      <c r="G9" s="425"/>
      <c r="H9" s="337"/>
      <c r="I9" s="337"/>
      <c r="J9" s="338"/>
      <c r="K9" s="425"/>
      <c r="L9" s="337"/>
      <c r="M9" s="337"/>
      <c r="N9" s="338"/>
      <c r="O9" s="425"/>
      <c r="P9" s="337"/>
      <c r="Q9" s="337"/>
      <c r="R9" s="338"/>
      <c r="S9" s="669">
        <v>168.02899999999997</v>
      </c>
      <c r="T9" s="664">
        <v>175.00799999999995</v>
      </c>
      <c r="U9" s="664">
        <v>166.22300000000001</v>
      </c>
      <c r="V9" s="666">
        <v>150.34299999999996</v>
      </c>
      <c r="W9" s="669">
        <v>181.98274000000009</v>
      </c>
      <c r="X9" s="664">
        <v>182.78572999999994</v>
      </c>
      <c r="Y9" s="664">
        <v>177.81274000000005</v>
      </c>
      <c r="Z9" s="666">
        <v>140.57772999999997</v>
      </c>
      <c r="AA9" s="669">
        <v>179.70000000000005</v>
      </c>
      <c r="AB9" s="664">
        <v>169.7999999999999</v>
      </c>
      <c r="AC9" s="664">
        <v>149.90000000000003</v>
      </c>
      <c r="AD9" s="666">
        <v>131.09999999999997</v>
      </c>
      <c r="AE9" s="669">
        <v>163.69999999999999</v>
      </c>
      <c r="AF9" s="664">
        <v>160.5</v>
      </c>
      <c r="AG9" s="664">
        <v>171.5</v>
      </c>
      <c r="AH9" s="666">
        <v>147.53</v>
      </c>
      <c r="AI9" s="669">
        <v>158.69999999999993</v>
      </c>
      <c r="AJ9" s="664">
        <v>164.86500000000001</v>
      </c>
      <c r="AK9" s="664">
        <v>160.94800000000006</v>
      </c>
      <c r="AL9" s="666">
        <v>125.11700000000005</v>
      </c>
      <c r="AM9" s="669">
        <v>157.89999999999998</v>
      </c>
      <c r="AN9" s="664">
        <v>162.90000000000003</v>
      </c>
      <c r="AO9" s="664">
        <v>156.89999999999998</v>
      </c>
      <c r="AP9" s="666">
        <v>132.70000000000002</v>
      </c>
      <c r="AQ9" s="669">
        <v>155.98700000000005</v>
      </c>
      <c r="AR9" s="664">
        <v>167.22100000000006</v>
      </c>
      <c r="AS9" s="664">
        <v>172.00700000000001</v>
      </c>
      <c r="AT9" s="666">
        <v>169.989</v>
      </c>
      <c r="AU9" s="425">
        <v>67.5</v>
      </c>
      <c r="AV9" s="337">
        <v>45.4</v>
      </c>
      <c r="AW9" s="337">
        <v>51.6</v>
      </c>
      <c r="AX9" s="337">
        <v>31.8</v>
      </c>
      <c r="AY9" s="425">
        <v>58.3</v>
      </c>
      <c r="AZ9" s="337">
        <v>55.5</v>
      </c>
      <c r="BA9" s="337">
        <v>66.7</v>
      </c>
      <c r="BB9" s="337">
        <v>41</v>
      </c>
      <c r="BC9" s="425">
        <v>68.900000000000006</v>
      </c>
      <c r="BD9" s="337">
        <v>70</v>
      </c>
      <c r="BE9" s="337">
        <v>70.599999999999994</v>
      </c>
      <c r="BF9" s="337">
        <v>41.5</v>
      </c>
    </row>
    <row r="10" spans="1:58" s="428" customFormat="1" ht="12.75" customHeight="1">
      <c r="A10" s="411" t="s">
        <v>947</v>
      </c>
      <c r="B10" s="411" t="s">
        <v>946</v>
      </c>
      <c r="C10" s="425"/>
      <c r="D10" s="337"/>
      <c r="E10" s="337"/>
      <c r="F10" s="337"/>
      <c r="G10" s="425"/>
      <c r="H10" s="337"/>
      <c r="I10" s="337"/>
      <c r="J10" s="338"/>
      <c r="K10" s="425"/>
      <c r="L10" s="337"/>
      <c r="M10" s="337"/>
      <c r="N10" s="338"/>
      <c r="O10" s="425"/>
      <c r="P10" s="337"/>
      <c r="Q10" s="337"/>
      <c r="R10" s="338"/>
      <c r="S10" s="670"/>
      <c r="T10" s="672"/>
      <c r="U10" s="672"/>
      <c r="V10" s="668"/>
      <c r="W10" s="670"/>
      <c r="X10" s="672"/>
      <c r="Y10" s="672"/>
      <c r="Z10" s="668"/>
      <c r="AA10" s="670"/>
      <c r="AB10" s="672"/>
      <c r="AC10" s="672"/>
      <c r="AD10" s="668"/>
      <c r="AE10" s="670"/>
      <c r="AF10" s="672"/>
      <c r="AG10" s="672"/>
      <c r="AH10" s="668"/>
      <c r="AI10" s="670"/>
      <c r="AJ10" s="672"/>
      <c r="AK10" s="672"/>
      <c r="AL10" s="668"/>
      <c r="AM10" s="670"/>
      <c r="AN10" s="672"/>
      <c r="AO10" s="672"/>
      <c r="AP10" s="668"/>
      <c r="AQ10" s="670"/>
      <c r="AR10" s="672"/>
      <c r="AS10" s="672"/>
      <c r="AT10" s="668"/>
      <c r="AU10" s="425">
        <v>47.2</v>
      </c>
      <c r="AV10" s="337">
        <v>47.4</v>
      </c>
      <c r="AW10" s="337">
        <v>51.7</v>
      </c>
      <c r="AX10" s="337">
        <v>50.1</v>
      </c>
      <c r="AY10" s="425">
        <v>26</v>
      </c>
      <c r="AZ10" s="337">
        <v>24.3</v>
      </c>
      <c r="BA10" s="337">
        <v>25.6</v>
      </c>
      <c r="BB10" s="337">
        <v>24.1</v>
      </c>
      <c r="BC10" s="425">
        <v>24.6</v>
      </c>
      <c r="BD10" s="337">
        <v>26.7</v>
      </c>
      <c r="BE10" s="337">
        <v>26</v>
      </c>
      <c r="BF10" s="337">
        <v>18.7</v>
      </c>
    </row>
    <row r="11" spans="1:58" s="428" customFormat="1" ht="12.75" customHeight="1">
      <c r="A11" s="411" t="s">
        <v>558</v>
      </c>
      <c r="B11" s="411" t="s">
        <v>720</v>
      </c>
      <c r="C11" s="425"/>
      <c r="D11" s="337"/>
      <c r="E11" s="337"/>
      <c r="F11" s="337"/>
      <c r="G11" s="425"/>
      <c r="H11" s="337"/>
      <c r="I11" s="337"/>
      <c r="J11" s="338"/>
      <c r="K11" s="425"/>
      <c r="L11" s="337"/>
      <c r="M11" s="337"/>
      <c r="N11" s="338"/>
      <c r="O11" s="425"/>
      <c r="P11" s="337"/>
      <c r="Q11" s="337"/>
      <c r="R11" s="338"/>
      <c r="S11" s="670"/>
      <c r="T11" s="672"/>
      <c r="U11" s="672"/>
      <c r="V11" s="668"/>
      <c r="W11" s="670"/>
      <c r="X11" s="672"/>
      <c r="Y11" s="672"/>
      <c r="Z11" s="668"/>
      <c r="AA11" s="670"/>
      <c r="AB11" s="672"/>
      <c r="AC11" s="672"/>
      <c r="AD11" s="668"/>
      <c r="AE11" s="670"/>
      <c r="AF11" s="672"/>
      <c r="AG11" s="672"/>
      <c r="AH11" s="668"/>
      <c r="AI11" s="670"/>
      <c r="AJ11" s="672"/>
      <c r="AK11" s="672"/>
      <c r="AL11" s="668"/>
      <c r="AM11" s="670"/>
      <c r="AN11" s="672"/>
      <c r="AO11" s="672"/>
      <c r="AP11" s="668"/>
      <c r="AQ11" s="670"/>
      <c r="AR11" s="672"/>
      <c r="AS11" s="672"/>
      <c r="AT11" s="668"/>
      <c r="AU11" s="669">
        <v>80.709000000000117</v>
      </c>
      <c r="AV11" s="664">
        <v>78.33199999999988</v>
      </c>
      <c r="AW11" s="664">
        <v>85.700000000000045</v>
      </c>
      <c r="AX11" s="666">
        <v>107.79999999999993</v>
      </c>
      <c r="AY11" s="425">
        <v>84.500000000000057</v>
      </c>
      <c r="AZ11" s="337">
        <v>94.600000000000051</v>
      </c>
      <c r="BA11" s="337">
        <v>80.8</v>
      </c>
      <c r="BB11" s="337">
        <v>98.799999999999926</v>
      </c>
      <c r="BC11" s="425">
        <v>97.999999999999915</v>
      </c>
      <c r="BD11" s="337">
        <v>93.300000000000011</v>
      </c>
      <c r="BE11" s="337">
        <v>92.400000000000034</v>
      </c>
      <c r="BF11" s="337">
        <v>98.299999999999912</v>
      </c>
    </row>
    <row r="12" spans="1:58" s="428" customFormat="1" ht="12.75" customHeight="1">
      <c r="A12" s="508" t="s">
        <v>853</v>
      </c>
      <c r="B12" s="508" t="s">
        <v>851</v>
      </c>
      <c r="C12" s="425"/>
      <c r="D12" s="337"/>
      <c r="E12" s="337"/>
      <c r="F12" s="337"/>
      <c r="G12" s="337"/>
      <c r="H12" s="337"/>
      <c r="I12" s="337"/>
      <c r="J12" s="337"/>
      <c r="K12" s="425"/>
      <c r="L12" s="337"/>
      <c r="M12" s="337"/>
      <c r="N12" s="338"/>
      <c r="O12" s="337"/>
      <c r="P12" s="337"/>
      <c r="Q12" s="337"/>
      <c r="R12" s="337"/>
      <c r="S12" s="671"/>
      <c r="T12" s="665"/>
      <c r="U12" s="665"/>
      <c r="V12" s="667"/>
      <c r="W12" s="671"/>
      <c r="X12" s="665"/>
      <c r="Y12" s="665"/>
      <c r="Z12" s="667"/>
      <c r="AA12" s="671"/>
      <c r="AB12" s="665"/>
      <c r="AC12" s="665"/>
      <c r="AD12" s="667"/>
      <c r="AE12" s="671"/>
      <c r="AF12" s="665"/>
      <c r="AG12" s="665"/>
      <c r="AH12" s="667"/>
      <c r="AI12" s="671"/>
      <c r="AJ12" s="665"/>
      <c r="AK12" s="665"/>
      <c r="AL12" s="667"/>
      <c r="AM12" s="671"/>
      <c r="AN12" s="665"/>
      <c r="AO12" s="665"/>
      <c r="AP12" s="667"/>
      <c r="AQ12" s="671"/>
      <c r="AR12" s="665"/>
      <c r="AS12" s="665"/>
      <c r="AT12" s="667"/>
      <c r="AU12" s="671"/>
      <c r="AV12" s="665"/>
      <c r="AW12" s="665"/>
      <c r="AX12" s="667"/>
      <c r="AY12" s="425">
        <v>16.100000000000001</v>
      </c>
      <c r="AZ12" s="337">
        <v>0</v>
      </c>
      <c r="BA12" s="337">
        <v>0</v>
      </c>
      <c r="BB12" s="337">
        <v>0</v>
      </c>
      <c r="BC12" s="425">
        <v>13.3</v>
      </c>
      <c r="BD12" s="337">
        <v>0</v>
      </c>
      <c r="BE12" s="337">
        <v>0</v>
      </c>
      <c r="BF12" s="337">
        <v>0</v>
      </c>
    </row>
    <row r="13" spans="1:58" s="424" customFormat="1" ht="12.75" customHeight="1">
      <c r="A13" s="508" t="s">
        <v>880</v>
      </c>
      <c r="B13" s="508" t="s">
        <v>881</v>
      </c>
      <c r="C13" s="425"/>
      <c r="D13" s="337"/>
      <c r="E13" s="337"/>
      <c r="F13" s="337"/>
      <c r="G13" s="425"/>
      <c r="H13" s="337"/>
      <c r="I13" s="337"/>
      <c r="J13" s="338"/>
      <c r="K13" s="425"/>
      <c r="L13" s="337"/>
      <c r="M13" s="337"/>
      <c r="N13" s="338"/>
      <c r="O13" s="425"/>
      <c r="P13" s="337"/>
      <c r="Q13" s="337"/>
      <c r="R13" s="338"/>
      <c r="S13" s="425">
        <v>0.4</v>
      </c>
      <c r="T13" s="337">
        <v>-2.9</v>
      </c>
      <c r="U13" s="337">
        <v>-0.1</v>
      </c>
      <c r="V13" s="338">
        <v>3.4</v>
      </c>
      <c r="W13" s="337">
        <v>11.012259999999999</v>
      </c>
      <c r="X13" s="337">
        <v>11.012269999999999</v>
      </c>
      <c r="Y13" s="337">
        <v>11.012260000000001</v>
      </c>
      <c r="Z13" s="338">
        <v>11.012269999999997</v>
      </c>
      <c r="AA13" s="337">
        <v>11.3</v>
      </c>
      <c r="AB13" s="337">
        <v>11.4</v>
      </c>
      <c r="AC13" s="337">
        <v>11.3</v>
      </c>
      <c r="AD13" s="338">
        <v>15.3</v>
      </c>
      <c r="AE13" s="337">
        <v>13.600000000000001</v>
      </c>
      <c r="AF13" s="337">
        <v>13.5</v>
      </c>
      <c r="AG13" s="337">
        <v>13.5</v>
      </c>
      <c r="AH13" s="338">
        <v>13.600000000000001</v>
      </c>
      <c r="AI13" s="337">
        <v>26.1</v>
      </c>
      <c r="AJ13" s="337">
        <v>26.087</v>
      </c>
      <c r="AK13" s="337">
        <v>26.088000000000001</v>
      </c>
      <c r="AL13" s="338">
        <v>189.40199999999999</v>
      </c>
      <c r="AM13" s="337">
        <v>31.7</v>
      </c>
      <c r="AN13" s="337">
        <v>32.799999999999997</v>
      </c>
      <c r="AO13" s="337">
        <v>33.400000000000006</v>
      </c>
      <c r="AP13" s="337">
        <v>46</v>
      </c>
      <c r="AQ13" s="425">
        <v>89.1</v>
      </c>
      <c r="AR13" s="337">
        <v>18.699999999999996</v>
      </c>
      <c r="AS13" s="337">
        <v>18.900000000000006</v>
      </c>
      <c r="AT13" s="337">
        <v>19</v>
      </c>
      <c r="AU13" s="425">
        <v>84.300000000000011</v>
      </c>
      <c r="AV13" s="337">
        <v>27</v>
      </c>
      <c r="AW13" s="337">
        <v>26.9</v>
      </c>
      <c r="AX13" s="337">
        <v>27</v>
      </c>
      <c r="AY13" s="425">
        <v>148.79999999999998</v>
      </c>
      <c r="AZ13" s="337">
        <v>17.8</v>
      </c>
      <c r="BA13" s="337">
        <v>17.7</v>
      </c>
      <c r="BB13" s="337">
        <v>18</v>
      </c>
      <c r="BC13" s="425">
        <v>162.9</v>
      </c>
      <c r="BD13" s="337">
        <v>42.1</v>
      </c>
      <c r="BE13" s="337">
        <v>41.9</v>
      </c>
      <c r="BF13" s="337">
        <v>41.8</v>
      </c>
    </row>
    <row r="14" spans="1:58" s="424" customFormat="1" ht="11.25">
      <c r="A14" s="538" t="s">
        <v>884</v>
      </c>
      <c r="B14" s="539" t="s">
        <v>882</v>
      </c>
      <c r="C14" s="425"/>
      <c r="D14" s="337"/>
      <c r="E14" s="337"/>
      <c r="F14" s="337"/>
      <c r="G14" s="425"/>
      <c r="H14" s="337"/>
      <c r="I14" s="337"/>
      <c r="J14" s="338"/>
      <c r="K14" s="425"/>
      <c r="L14" s="337"/>
      <c r="M14" s="337"/>
      <c r="N14" s="338"/>
      <c r="O14" s="425"/>
      <c r="P14" s="337"/>
      <c r="Q14" s="337"/>
      <c r="R14" s="338"/>
      <c r="S14" s="425"/>
      <c r="T14" s="337"/>
      <c r="U14" s="337"/>
      <c r="V14" s="338"/>
      <c r="W14" s="337"/>
      <c r="X14" s="337"/>
      <c r="Y14" s="337"/>
      <c r="Z14" s="338"/>
      <c r="AA14" s="337"/>
      <c r="AB14" s="337"/>
      <c r="AC14" s="337"/>
      <c r="AD14" s="338"/>
      <c r="AE14" s="337"/>
      <c r="AF14" s="337"/>
      <c r="AG14" s="337"/>
      <c r="AH14" s="338"/>
      <c r="AI14" s="337"/>
      <c r="AJ14" s="337"/>
      <c r="AK14" s="337"/>
      <c r="AL14" s="338"/>
      <c r="AM14" s="337"/>
      <c r="AN14" s="337"/>
      <c r="AO14" s="337"/>
      <c r="AP14" s="337"/>
      <c r="AQ14" s="425">
        <v>18.600000000000001</v>
      </c>
      <c r="AR14" s="337">
        <v>18.699999999999996</v>
      </c>
      <c r="AS14" s="337">
        <v>18.900000000000006</v>
      </c>
      <c r="AT14" s="337">
        <v>19</v>
      </c>
      <c r="AU14" s="425">
        <v>26.1</v>
      </c>
      <c r="AV14" s="337">
        <v>27</v>
      </c>
      <c r="AW14" s="337">
        <v>26.9</v>
      </c>
      <c r="AX14" s="337">
        <v>27</v>
      </c>
      <c r="AY14" s="425">
        <v>17.600000000000001</v>
      </c>
      <c r="AZ14" s="337">
        <v>17.8</v>
      </c>
      <c r="BA14" s="337">
        <v>17.7</v>
      </c>
      <c r="BB14" s="337">
        <v>18</v>
      </c>
      <c r="BC14" s="425">
        <v>38.5</v>
      </c>
      <c r="BD14" s="337">
        <v>41.1</v>
      </c>
      <c r="BE14" s="337">
        <v>41.9</v>
      </c>
      <c r="BF14" s="337">
        <v>41.8</v>
      </c>
    </row>
    <row r="15" spans="1:58" s="424" customFormat="1" ht="11.25">
      <c r="A15" s="539" t="s">
        <v>885</v>
      </c>
      <c r="B15" s="539" t="s">
        <v>883</v>
      </c>
      <c r="C15" s="425"/>
      <c r="D15" s="337"/>
      <c r="E15" s="337"/>
      <c r="F15" s="337"/>
      <c r="G15" s="425"/>
      <c r="H15" s="337"/>
      <c r="I15" s="337"/>
      <c r="J15" s="338"/>
      <c r="K15" s="425"/>
      <c r="L15" s="337"/>
      <c r="M15" s="337"/>
      <c r="N15" s="338"/>
      <c r="O15" s="425"/>
      <c r="P15" s="337"/>
      <c r="Q15" s="337"/>
      <c r="R15" s="338"/>
      <c r="S15" s="425"/>
      <c r="T15" s="337"/>
      <c r="U15" s="337"/>
      <c r="V15" s="338"/>
      <c r="W15" s="337"/>
      <c r="X15" s="337"/>
      <c r="Y15" s="337"/>
      <c r="Z15" s="338"/>
      <c r="AA15" s="337"/>
      <c r="AB15" s="337"/>
      <c r="AC15" s="337"/>
      <c r="AD15" s="338"/>
      <c r="AE15" s="337"/>
      <c r="AF15" s="337"/>
      <c r="AG15" s="337"/>
      <c r="AH15" s="338"/>
      <c r="AI15" s="337"/>
      <c r="AJ15" s="337"/>
      <c r="AK15" s="337"/>
      <c r="AL15" s="338"/>
      <c r="AM15" s="337"/>
      <c r="AN15" s="337"/>
      <c r="AO15" s="337"/>
      <c r="AP15" s="337"/>
      <c r="AQ15" s="425">
        <v>70.5</v>
      </c>
      <c r="AR15" s="337">
        <v>0</v>
      </c>
      <c r="AS15" s="337">
        <v>0</v>
      </c>
      <c r="AT15" s="337">
        <v>0</v>
      </c>
      <c r="AU15" s="425">
        <v>58.2</v>
      </c>
      <c r="AV15" s="337">
        <v>0</v>
      </c>
      <c r="AW15" s="337">
        <v>0</v>
      </c>
      <c r="AX15" s="337">
        <v>0</v>
      </c>
      <c r="AY15" s="425">
        <v>131.19999999999999</v>
      </c>
      <c r="AZ15" s="337">
        <v>0</v>
      </c>
      <c r="BA15" s="337">
        <v>0</v>
      </c>
      <c r="BB15" s="337">
        <v>0</v>
      </c>
      <c r="BC15" s="425">
        <v>124.4</v>
      </c>
      <c r="BD15" s="337">
        <v>1</v>
      </c>
      <c r="BE15" s="337">
        <v>0</v>
      </c>
      <c r="BF15" s="337">
        <v>0</v>
      </c>
    </row>
    <row r="16" spans="1:58">
      <c r="A16" s="13"/>
      <c r="B16" s="13"/>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J16" s="19"/>
    </row>
    <row r="17" spans="1:46">
      <c r="A17" s="13"/>
      <c r="B17" s="13"/>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J17" s="19"/>
      <c r="AQ17" s="19"/>
      <c r="AR17" s="19"/>
      <c r="AS17" s="19"/>
      <c r="AT17" s="19"/>
    </row>
    <row r="18" spans="1:46">
      <c r="A18" s="13"/>
      <c r="B18" s="13"/>
    </row>
    <row r="19" spans="1:46">
      <c r="A19" s="13"/>
      <c r="B19" s="13"/>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row>
  </sheetData>
  <mergeCells count="48">
    <mergeCell ref="BC2:BF2"/>
    <mergeCell ref="AY2:BB2"/>
    <mergeCell ref="AU2:AX2"/>
    <mergeCell ref="AQ2:AT2"/>
    <mergeCell ref="AM2:AP2"/>
    <mergeCell ref="AF9:AF12"/>
    <mergeCell ref="AG9:AG12"/>
    <mergeCell ref="AA2:AD2"/>
    <mergeCell ref="AE2:AH2"/>
    <mergeCell ref="AI2:AL2"/>
    <mergeCell ref="AA9:AA12"/>
    <mergeCell ref="AB9:AB12"/>
    <mergeCell ref="AC9:AC12"/>
    <mergeCell ref="AD9:AD12"/>
    <mergeCell ref="AE9:AE12"/>
    <mergeCell ref="AH9:AH12"/>
    <mergeCell ref="AI9:AI12"/>
    <mergeCell ref="AJ9:AJ12"/>
    <mergeCell ref="AK9:AK12"/>
    <mergeCell ref="AL9:AL12"/>
    <mergeCell ref="O2:R2"/>
    <mergeCell ref="A2:A3"/>
    <mergeCell ref="B2:B3"/>
    <mergeCell ref="C2:F2"/>
    <mergeCell ref="G2:J2"/>
    <mergeCell ref="K2:N2"/>
    <mergeCell ref="S9:S12"/>
    <mergeCell ref="T9:T12"/>
    <mergeCell ref="U9:U12"/>
    <mergeCell ref="S2:V2"/>
    <mergeCell ref="W2:Z2"/>
    <mergeCell ref="V9:V12"/>
    <mergeCell ref="W9:W12"/>
    <mergeCell ref="X9:X12"/>
    <mergeCell ref="Y9:Y12"/>
    <mergeCell ref="Z9:Z12"/>
    <mergeCell ref="AM9:AM12"/>
    <mergeCell ref="AN9:AN12"/>
    <mergeCell ref="AO9:AO12"/>
    <mergeCell ref="AU11:AU12"/>
    <mergeCell ref="AV11:AV12"/>
    <mergeCell ref="AW11:AW12"/>
    <mergeCell ref="AX11:AX12"/>
    <mergeCell ref="AP9:AP12"/>
    <mergeCell ref="AQ9:AQ12"/>
    <mergeCell ref="AR9:AR12"/>
    <mergeCell ref="AS9:AS12"/>
    <mergeCell ref="AT9:AT12"/>
  </mergeCells>
  <printOptions horizontalCentered="1"/>
  <pageMargins left="0.23622047244094491" right="0.23622047244094491" top="0.74803149606299213" bottom="0.74803149606299213" header="0.31496062992125984" footer="0.31496062992125984"/>
  <pageSetup paperSize="9" scale="31" orientation="landscape" r:id="rId1"/>
  <headerFooter alignWithMargins="0">
    <oddHeader xml:space="preserve">&amp;C&amp;"Times New Roman,Kursywa"&amp;12
</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F53"/>
  <sheetViews>
    <sheetView showGridLines="0" view="pageBreakPreview" zoomScaleNormal="100" zoomScaleSheetLayoutView="100" zoomScalePageLayoutView="80" workbookViewId="0">
      <pane xSplit="2" ySplit="4" topLeftCell="AP5" activePane="bottomRight" state="frozen"/>
      <selection activeCell="B1" sqref="B1"/>
      <selection pane="topRight" activeCell="C1" sqref="C1"/>
      <selection pane="bottomLeft" activeCell="B5" sqref="B5"/>
      <selection pane="bottomRight" activeCell="BC2" sqref="BC2:BF2"/>
    </sheetView>
  </sheetViews>
  <sheetFormatPr defaultColWidth="8.85546875" defaultRowHeight="13.5"/>
  <cols>
    <col min="1" max="1" width="49.85546875" style="326" bestFit="1" customWidth="1"/>
    <col min="2" max="2" width="66" style="326" bestFit="1" customWidth="1"/>
    <col min="3" max="35" width="7" style="63" customWidth="1"/>
    <col min="36" max="46" width="7.85546875" style="63" customWidth="1"/>
    <col min="47" max="49" width="7.85546875" style="63" bestFit="1" customWidth="1"/>
    <col min="50" max="50" width="7.85546875" style="13" bestFit="1" customWidth="1"/>
    <col min="51" max="53" width="7.85546875" style="63" bestFit="1" customWidth="1"/>
    <col min="54" max="54" width="7.85546875" style="13" bestFit="1" customWidth="1"/>
    <col min="55" max="57" width="7.85546875" style="63" bestFit="1" customWidth="1"/>
    <col min="58" max="58" width="7.85546875" style="13" bestFit="1" customWidth="1"/>
    <col min="59" max="16384" width="8.85546875" style="13"/>
  </cols>
  <sheetData>
    <row r="1" spans="1:58" s="14" customFormat="1" ht="12.75" customHeight="1">
      <c r="A1" s="18" t="s">
        <v>542</v>
      </c>
      <c r="B1" s="18" t="s">
        <v>537</v>
      </c>
      <c r="C1" s="69"/>
      <c r="D1" s="69"/>
      <c r="E1" s="69"/>
      <c r="F1" s="69"/>
      <c r="G1" s="69"/>
      <c r="H1" s="80"/>
      <c r="I1" s="69"/>
      <c r="J1" s="69"/>
      <c r="K1" s="69"/>
      <c r="L1" s="69"/>
      <c r="M1" s="69"/>
      <c r="N1" s="69"/>
      <c r="O1" s="69"/>
      <c r="P1" s="69"/>
      <c r="Q1" s="69"/>
      <c r="R1" s="69"/>
      <c r="S1" s="69"/>
      <c r="T1" s="69"/>
      <c r="U1" s="69"/>
      <c r="V1" s="69"/>
      <c r="W1" s="69"/>
      <c r="X1" s="69"/>
      <c r="Y1" s="69"/>
      <c r="Z1" s="69"/>
      <c r="AA1" s="69"/>
      <c r="AB1" s="69"/>
      <c r="AC1" s="69"/>
      <c r="AD1" s="69"/>
      <c r="AE1" s="69"/>
      <c r="AF1" s="69"/>
      <c r="AG1" s="69"/>
      <c r="AH1" s="69"/>
      <c r="AI1" s="69"/>
      <c r="AJ1" s="69"/>
      <c r="AK1" s="69"/>
      <c r="AL1" s="69"/>
      <c r="AM1" s="69"/>
      <c r="AN1" s="69"/>
      <c r="AO1" s="69"/>
      <c r="AP1" s="69"/>
      <c r="AQ1" s="69"/>
      <c r="AR1" s="69"/>
      <c r="AS1" s="69"/>
      <c r="AT1" s="69"/>
      <c r="AU1" s="69"/>
      <c r="AV1" s="69"/>
      <c r="AW1" s="69"/>
      <c r="AY1" s="350" t="s">
        <v>901</v>
      </c>
      <c r="AZ1" s="172"/>
      <c r="BA1" s="172"/>
      <c r="BB1" s="172"/>
      <c r="BC1" s="69"/>
      <c r="BD1" s="69"/>
      <c r="BE1" s="69"/>
    </row>
    <row r="2" spans="1:58" ht="13.5" customHeight="1">
      <c r="A2" s="639" t="s">
        <v>861</v>
      </c>
      <c r="B2" s="639" t="s">
        <v>132</v>
      </c>
      <c r="C2" s="636">
        <v>2007</v>
      </c>
      <c r="D2" s="641"/>
      <c r="E2" s="641"/>
      <c r="F2" s="641"/>
      <c r="G2" s="636">
        <v>2008</v>
      </c>
      <c r="H2" s="641"/>
      <c r="I2" s="641"/>
      <c r="J2" s="641"/>
      <c r="K2" s="636">
        <v>2009</v>
      </c>
      <c r="L2" s="641"/>
      <c r="M2" s="641"/>
      <c r="N2" s="641"/>
      <c r="O2" s="636">
        <v>2010</v>
      </c>
      <c r="P2" s="641"/>
      <c r="Q2" s="641"/>
      <c r="R2" s="641"/>
      <c r="S2" s="636">
        <v>2011</v>
      </c>
      <c r="T2" s="641"/>
      <c r="U2" s="641"/>
      <c r="V2" s="641"/>
      <c r="W2" s="636">
        <v>2012</v>
      </c>
      <c r="X2" s="641"/>
      <c r="Y2" s="641"/>
      <c r="Z2" s="642"/>
      <c r="AA2" s="636">
        <v>2013</v>
      </c>
      <c r="AB2" s="641"/>
      <c r="AC2" s="641"/>
      <c r="AD2" s="642"/>
      <c r="AE2" s="636">
        <v>2014</v>
      </c>
      <c r="AF2" s="641"/>
      <c r="AG2" s="641"/>
      <c r="AH2" s="642"/>
      <c r="AI2" s="636">
        <v>2015</v>
      </c>
      <c r="AJ2" s="641"/>
      <c r="AK2" s="641"/>
      <c r="AL2" s="641"/>
      <c r="AM2" s="636">
        <v>2016</v>
      </c>
      <c r="AN2" s="641"/>
      <c r="AO2" s="641"/>
      <c r="AP2" s="641"/>
      <c r="AQ2" s="645">
        <v>2017</v>
      </c>
      <c r="AR2" s="641"/>
      <c r="AS2" s="641"/>
      <c r="AT2" s="641"/>
      <c r="AU2" s="674">
        <v>2018</v>
      </c>
      <c r="AV2" s="673"/>
      <c r="AW2" s="654"/>
      <c r="AX2" s="654"/>
      <c r="AY2" s="673">
        <v>2019</v>
      </c>
      <c r="AZ2" s="673"/>
      <c r="BA2" s="654"/>
      <c r="BB2" s="653"/>
      <c r="BC2" s="645">
        <v>2020</v>
      </c>
      <c r="BD2" s="641"/>
      <c r="BE2" s="652"/>
      <c r="BF2" s="652"/>
    </row>
    <row r="3" spans="1:58" s="14" customFormat="1" ht="13.5" customHeight="1">
      <c r="A3" s="640"/>
      <c r="B3" s="640"/>
      <c r="C3" s="20" t="s">
        <v>149</v>
      </c>
      <c r="D3" s="21" t="s">
        <v>150</v>
      </c>
      <c r="E3" s="21" t="s">
        <v>151</v>
      </c>
      <c r="F3" s="21" t="s">
        <v>152</v>
      </c>
      <c r="G3" s="20" t="s">
        <v>149</v>
      </c>
      <c r="H3" s="21" t="s">
        <v>150</v>
      </c>
      <c r="I3" s="21" t="s">
        <v>151</v>
      </c>
      <c r="J3" s="21" t="s">
        <v>152</v>
      </c>
      <c r="K3" s="20" t="s">
        <v>149</v>
      </c>
      <c r="L3" s="21" t="s">
        <v>150</v>
      </c>
      <c r="M3" s="21" t="s">
        <v>151</v>
      </c>
      <c r="N3" s="21" t="s">
        <v>152</v>
      </c>
      <c r="O3" s="20" t="s">
        <v>149</v>
      </c>
      <c r="P3" s="21" t="s">
        <v>150</v>
      </c>
      <c r="Q3" s="21" t="s">
        <v>151</v>
      </c>
      <c r="R3" s="21" t="s">
        <v>152</v>
      </c>
      <c r="S3" s="20" t="s">
        <v>149</v>
      </c>
      <c r="T3" s="21" t="s">
        <v>150</v>
      </c>
      <c r="U3" s="21" t="s">
        <v>151</v>
      </c>
      <c r="V3" s="21" t="s">
        <v>152</v>
      </c>
      <c r="W3" s="20" t="s">
        <v>149</v>
      </c>
      <c r="X3" s="21" t="s">
        <v>150</v>
      </c>
      <c r="Y3" s="21" t="s">
        <v>151</v>
      </c>
      <c r="Z3" s="43" t="s">
        <v>152</v>
      </c>
      <c r="AA3" s="20" t="s">
        <v>149</v>
      </c>
      <c r="AB3" s="21" t="s">
        <v>150</v>
      </c>
      <c r="AC3" s="21" t="s">
        <v>151</v>
      </c>
      <c r="AD3" s="43" t="s">
        <v>152</v>
      </c>
      <c r="AE3" s="20" t="s">
        <v>149</v>
      </c>
      <c r="AF3" s="21" t="s">
        <v>150</v>
      </c>
      <c r="AG3" s="21" t="s">
        <v>151</v>
      </c>
      <c r="AH3" s="21" t="s">
        <v>152</v>
      </c>
      <c r="AI3" s="20" t="s">
        <v>149</v>
      </c>
      <c r="AJ3" s="21" t="s">
        <v>150</v>
      </c>
      <c r="AK3" s="21" t="s">
        <v>151</v>
      </c>
      <c r="AL3" s="21" t="s">
        <v>152</v>
      </c>
      <c r="AM3" s="20" t="s">
        <v>149</v>
      </c>
      <c r="AN3" s="21" t="s">
        <v>150</v>
      </c>
      <c r="AO3" s="21" t="s">
        <v>151</v>
      </c>
      <c r="AP3" s="21" t="s">
        <v>152</v>
      </c>
      <c r="AQ3" s="20" t="s">
        <v>149</v>
      </c>
      <c r="AR3" s="21" t="s">
        <v>150</v>
      </c>
      <c r="AS3" s="21" t="s">
        <v>151</v>
      </c>
      <c r="AT3" s="21" t="s">
        <v>152</v>
      </c>
      <c r="AU3" s="20" t="s">
        <v>149</v>
      </c>
      <c r="AV3" s="21" t="s">
        <v>150</v>
      </c>
      <c r="AW3" s="21" t="s">
        <v>151</v>
      </c>
      <c r="AX3" s="361" t="s">
        <v>152</v>
      </c>
      <c r="AY3" s="362" t="s">
        <v>149</v>
      </c>
      <c r="AZ3" s="21" t="s">
        <v>150</v>
      </c>
      <c r="BA3" s="21" t="s">
        <v>151</v>
      </c>
      <c r="BB3" s="21" t="s">
        <v>152</v>
      </c>
      <c r="BC3" s="20" t="s">
        <v>149</v>
      </c>
      <c r="BD3" s="21" t="s">
        <v>150</v>
      </c>
      <c r="BE3" s="21" t="s">
        <v>151</v>
      </c>
      <c r="BF3" s="21" t="s">
        <v>152</v>
      </c>
    </row>
    <row r="4" spans="1:58" s="172" customFormat="1" ht="12.75" customHeight="1">
      <c r="A4" s="22" t="s">
        <v>154</v>
      </c>
      <c r="B4" s="22" t="s">
        <v>11</v>
      </c>
      <c r="C4" s="111"/>
      <c r="D4" s="112"/>
      <c r="E4" s="22"/>
      <c r="F4" s="112"/>
      <c r="G4" s="111"/>
      <c r="H4" s="112"/>
      <c r="I4" s="22"/>
      <c r="J4" s="113"/>
      <c r="K4" s="111"/>
      <c r="L4" s="112"/>
      <c r="M4" s="22"/>
      <c r="N4" s="113"/>
      <c r="O4" s="111"/>
      <c r="P4" s="112"/>
      <c r="Q4" s="22"/>
      <c r="R4" s="113"/>
      <c r="S4" s="111"/>
      <c r="T4" s="112"/>
      <c r="U4" s="22"/>
      <c r="V4" s="113"/>
      <c r="W4" s="111"/>
      <c r="X4" s="22"/>
      <c r="Y4" s="22"/>
      <c r="Z4" s="114"/>
      <c r="AA4" s="111"/>
      <c r="AB4" s="22"/>
      <c r="AC4" s="22"/>
      <c r="AD4" s="114"/>
      <c r="AE4" s="111"/>
      <c r="AF4" s="22"/>
      <c r="AG4" s="22"/>
      <c r="AH4" s="22"/>
      <c r="AI4" s="111"/>
      <c r="AJ4" s="22"/>
      <c r="AK4" s="22"/>
      <c r="AL4" s="22"/>
      <c r="AM4" s="111"/>
      <c r="AN4" s="22"/>
      <c r="AO4" s="22"/>
      <c r="AP4" s="22"/>
      <c r="AQ4" s="111"/>
      <c r="AR4" s="22"/>
      <c r="AS4" s="22"/>
      <c r="AT4" s="22"/>
      <c r="AU4" s="111"/>
      <c r="AV4" s="22"/>
      <c r="AW4" s="22"/>
      <c r="AX4" s="356"/>
      <c r="AY4" s="350"/>
      <c r="BC4" s="111"/>
      <c r="BD4" s="22"/>
      <c r="BE4" s="22"/>
      <c r="BF4" s="22"/>
    </row>
    <row r="5" spans="1:58" s="418" customFormat="1" ht="11.25">
      <c r="A5" s="411" t="s">
        <v>858</v>
      </c>
      <c r="B5" s="411" t="s">
        <v>855</v>
      </c>
      <c r="C5" s="407"/>
      <c r="D5" s="408"/>
      <c r="E5" s="408"/>
      <c r="F5" s="408"/>
      <c r="G5" s="407"/>
      <c r="H5" s="408">
        <f>'Jakość portfela_Portf. quality'!H81</f>
        <v>5723.8</v>
      </c>
      <c r="I5" s="408">
        <f>'Jakość portfela_Portf. quality'!I81</f>
        <v>6439.6</v>
      </c>
      <c r="J5" s="504">
        <f>'Jakość portfela_Portf. quality'!J81</f>
        <v>7300.9000000000005</v>
      </c>
      <c r="K5" s="407">
        <f>'Jakość portfela_Portf. quality'!K81</f>
        <v>8041</v>
      </c>
      <c r="L5" s="408">
        <f>'Jakość portfela_Portf. quality'!L81</f>
        <v>8639.7999999999993</v>
      </c>
      <c r="M5" s="408">
        <f>'Jakość portfela_Portf. quality'!M81</f>
        <v>9190.2000000000007</v>
      </c>
      <c r="N5" s="504">
        <f>'Jakość portfela_Portf. quality'!N81</f>
        <v>9756.8000000000011</v>
      </c>
      <c r="O5" s="407">
        <f>'Jakość portfela_Portf. quality'!O81</f>
        <v>10220.700000000001</v>
      </c>
      <c r="P5" s="408">
        <f>'Jakość portfela_Portf. quality'!P81</f>
        <v>11104.1</v>
      </c>
      <c r="Q5" s="408">
        <f>'Jakość portfela_Portf. quality'!Q81</f>
        <v>11614.3</v>
      </c>
      <c r="R5" s="504">
        <f>'Jakość portfela_Portf. quality'!R81</f>
        <v>12594.8</v>
      </c>
      <c r="S5" s="407">
        <f>'Jakość portfela_Portf. quality'!S81</f>
        <v>13076.2</v>
      </c>
      <c r="T5" s="408">
        <f>'Jakość portfela_Portf. quality'!T81</f>
        <v>13804.3</v>
      </c>
      <c r="U5" s="408">
        <f>'Jakość portfela_Portf. quality'!U81</f>
        <v>14540.6</v>
      </c>
      <c r="V5" s="504">
        <f>'Jakość portfela_Portf. quality'!V81</f>
        <v>15008.9</v>
      </c>
      <c r="W5" s="407">
        <f>'Jakość portfela_Portf. quality'!W81</f>
        <v>15278.5</v>
      </c>
      <c r="X5" s="408">
        <f>'Jakość portfela_Portf. quality'!X81</f>
        <v>15835.199999999999</v>
      </c>
      <c r="Y5" s="408">
        <f>'Jakość portfela_Portf. quality'!Y81</f>
        <v>16362.1</v>
      </c>
      <c r="Z5" s="504">
        <f>'Jakość portfela_Portf. quality'!Z81</f>
        <v>16632</v>
      </c>
      <c r="AA5" s="407">
        <f>'Jakość portfela_Portf. quality'!AA81</f>
        <v>16960</v>
      </c>
      <c r="AB5" s="408">
        <f>'Jakość portfela_Portf. quality'!AB81</f>
        <v>17710.400000000001</v>
      </c>
      <c r="AC5" s="408">
        <f>'Jakość portfela_Portf. quality'!AC81</f>
        <v>18261.5</v>
      </c>
      <c r="AD5" s="504">
        <f>'Jakość portfela_Portf. quality'!AD81</f>
        <v>18505.5</v>
      </c>
      <c r="AE5" s="407">
        <f>'Jakość portfela_Portf. quality'!AE81</f>
        <v>19048.599999999999</v>
      </c>
      <c r="AF5" s="408">
        <f>'Jakość portfela_Portf. quality'!AF81</f>
        <v>19893.099999999999</v>
      </c>
      <c r="AG5" s="408">
        <f>'Jakość portfela_Portf. quality'!AG81</f>
        <v>21021.3</v>
      </c>
      <c r="AH5" s="504">
        <f>'Jakość portfela_Portf. quality'!AH81</f>
        <v>21969.399999999998</v>
      </c>
      <c r="AI5" s="407">
        <f>'Jakość portfela_Portf. quality'!AI81</f>
        <v>23244.499999999996</v>
      </c>
      <c r="AJ5" s="408">
        <f>'Jakość portfela_Portf. quality'!AJ81</f>
        <v>24641.5</v>
      </c>
      <c r="AK5" s="408">
        <f>'Jakość portfela_Portf. quality'!AK81</f>
        <v>25551.999999999996</v>
      </c>
      <c r="AL5" s="408">
        <f>'Jakość portfela_Portf. quality'!AL81</f>
        <v>26453.5</v>
      </c>
      <c r="AM5" s="407">
        <f>'Jakość portfela_Portf. quality'!AM81</f>
        <v>27761</v>
      </c>
      <c r="AN5" s="408">
        <f>'Jakość portfela_Portf. quality'!AN81</f>
        <v>29563.200000000001</v>
      </c>
      <c r="AO5" s="408">
        <f>'Jakość portfela_Portf. quality'!AO81</f>
        <v>30581.8</v>
      </c>
      <c r="AP5" s="408">
        <f>'Jakość portfela_Portf. quality'!AP81</f>
        <v>31640.600000000002</v>
      </c>
      <c r="AQ5" s="407">
        <f>'Jakość portfela_Portf. quality'!AQ81</f>
        <v>32786.200000000004</v>
      </c>
      <c r="AR5" s="408">
        <f>'Jakość portfela_Portf. quality'!AR81</f>
        <v>34321.300000000003</v>
      </c>
      <c r="AS5" s="408">
        <f>'Jakość portfela_Portf. quality'!AS81</f>
        <v>35795.299999999996</v>
      </c>
      <c r="AT5" s="408">
        <f>'Jakość portfela_Portf. quality'!AT81</f>
        <v>37509</v>
      </c>
      <c r="AU5" s="407">
        <f>'Jakość portfela_Portf. quality'!AU23</f>
        <v>39424.699999999997</v>
      </c>
      <c r="AV5" s="408">
        <f>'Jakość portfela_Portf. quality'!AV23</f>
        <v>41723.1</v>
      </c>
      <c r="AW5" s="408">
        <f>'Jakość portfela_Portf. quality'!AW23</f>
        <v>43539.8</v>
      </c>
      <c r="AX5" s="540">
        <f>'Jakość portfela_Portf. quality'!AX23</f>
        <v>45363.299999999996</v>
      </c>
      <c r="AY5" s="541">
        <f>'Jakość portfela_Portf. quality'!AY23</f>
        <v>41392.099999999991</v>
      </c>
      <c r="AZ5" s="408">
        <f>'Jakość portfela_Portf. quality'!AZ23</f>
        <v>43701</v>
      </c>
      <c r="BA5" s="408">
        <f>'Jakość portfela_Portf. quality'!BA23</f>
        <v>46195</v>
      </c>
      <c r="BB5" s="408">
        <f>'Jakość portfela_Portf. quality'!BB23</f>
        <v>48360.299999999996</v>
      </c>
      <c r="BC5" s="407">
        <f>'Jakość portfela_Portf. quality'!BC23</f>
        <v>50940.399999999994</v>
      </c>
      <c r="BD5" s="408">
        <f>'Jakość portfela_Portf. quality'!BD23</f>
        <v>52606.200000000004</v>
      </c>
      <c r="BE5" s="408">
        <f>'Jakość portfela_Portf. quality'!BE23</f>
        <v>53761.799999999996</v>
      </c>
      <c r="BF5" s="408">
        <f>'Jakość portfela_Portf. quality'!BF23</f>
        <v>55830.299999999996</v>
      </c>
    </row>
    <row r="6" spans="1:58" s="424" customFormat="1" ht="11.25">
      <c r="A6" s="411" t="s">
        <v>859</v>
      </c>
      <c r="B6" s="411" t="s">
        <v>856</v>
      </c>
      <c r="C6" s="407"/>
      <c r="D6" s="408"/>
      <c r="E6" s="408"/>
      <c r="F6" s="408"/>
      <c r="G6" s="407"/>
      <c r="H6" s="408">
        <f>'Jakość portfela_Portf. quality'!H69</f>
        <v>14090.5</v>
      </c>
      <c r="I6" s="408">
        <f>'Jakość portfela_Portf. quality'!I69</f>
        <v>15666.1</v>
      </c>
      <c r="J6" s="504">
        <f>'Jakość portfela_Portf. quality'!J69</f>
        <v>16997.100000000002</v>
      </c>
      <c r="K6" s="407">
        <f>'Jakość portfela_Portf. quality'!K69</f>
        <v>17573.5</v>
      </c>
      <c r="L6" s="408">
        <f>'Jakość portfela_Portf. quality'!L69</f>
        <v>17136.900000000001</v>
      </c>
      <c r="M6" s="408">
        <f>'Jakość portfela_Portf. quality'!M69</f>
        <v>16943.8</v>
      </c>
      <c r="N6" s="504">
        <f>'Jakość portfela_Portf. quality'!N69</f>
        <v>17604.600000000002</v>
      </c>
      <c r="O6" s="407">
        <f>'Jakość portfela_Portf. quality'!O69</f>
        <v>17355.7</v>
      </c>
      <c r="P6" s="408">
        <f>'Jakość portfela_Portf. quality'!P69</f>
        <v>17890.3</v>
      </c>
      <c r="Q6" s="408">
        <f>'Jakość portfela_Portf. quality'!Q69</f>
        <v>19053.5</v>
      </c>
      <c r="R6" s="504">
        <f>'Jakość portfela_Portf. quality'!R69</f>
        <v>19583.499999999996</v>
      </c>
      <c r="S6" s="407">
        <f>'Jakość portfela_Portf. quality'!S69</f>
        <v>19912.5</v>
      </c>
      <c r="T6" s="408">
        <f>'Jakość portfela_Portf. quality'!T69</f>
        <v>20950.399999999998</v>
      </c>
      <c r="U6" s="408">
        <f>'Jakość portfela_Portf. quality'!U69</f>
        <v>22378.6</v>
      </c>
      <c r="V6" s="504">
        <f>'Jakość portfela_Portf. quality'!V69</f>
        <v>24457.200000000001</v>
      </c>
      <c r="W6" s="407">
        <f>'Jakość portfela_Portf. quality'!W69</f>
        <v>29827.399999999998</v>
      </c>
      <c r="X6" s="408">
        <f>'Jakość portfela_Portf. quality'!X69</f>
        <v>30072.399999999998</v>
      </c>
      <c r="Y6" s="408">
        <f>'Jakość portfela_Portf. quality'!Y69</f>
        <v>30382.799999999999</v>
      </c>
      <c r="Z6" s="504">
        <f>'Jakość portfela_Portf. quality'!Z69</f>
        <v>29878</v>
      </c>
      <c r="AA6" s="407">
        <f>'Jakość portfela_Portf. quality'!AA69</f>
        <v>29710.399999999998</v>
      </c>
      <c r="AB6" s="408">
        <f>'Jakość portfela_Portf. quality'!AB69</f>
        <v>30426.3</v>
      </c>
      <c r="AC6" s="408">
        <f>'Jakość portfela_Portf. quality'!AC69</f>
        <v>31503</v>
      </c>
      <c r="AD6" s="504">
        <f>'Jakość portfela_Portf. quality'!AD69</f>
        <v>31476.799999999996</v>
      </c>
      <c r="AE6" s="407">
        <f>'Jakość portfela_Portf. quality'!AE69</f>
        <v>33297.599999999999</v>
      </c>
      <c r="AF6" s="408">
        <f>'Jakość portfela_Portf. quality'!AF69</f>
        <v>35206</v>
      </c>
      <c r="AG6" s="408">
        <f>'Jakość portfela_Portf. quality'!AG69</f>
        <v>36729.5</v>
      </c>
      <c r="AH6" s="504">
        <f>'Jakość portfela_Portf. quality'!AH69</f>
        <v>36781.1</v>
      </c>
      <c r="AI6" s="407">
        <f>'Jakość portfela_Portf. quality'!AI69</f>
        <v>38078.600000000006</v>
      </c>
      <c r="AJ6" s="408">
        <f>'Jakość portfela_Portf. quality'!AJ69</f>
        <v>41302.199999999997</v>
      </c>
      <c r="AK6" s="408">
        <f>'Jakość portfela_Portf. quality'!AK69</f>
        <v>43494.5</v>
      </c>
      <c r="AL6" s="408">
        <f>'Jakość portfela_Portf. quality'!AL69</f>
        <v>43593.399999999994</v>
      </c>
      <c r="AM6" s="407">
        <f>'Jakość portfela_Portf. quality'!AM69</f>
        <v>45146</v>
      </c>
      <c r="AN6" s="408">
        <f>'Jakość portfela_Portf. quality'!AN69</f>
        <v>46247.6</v>
      </c>
      <c r="AO6" s="408">
        <f>'Jakość portfela_Portf. quality'!AO69</f>
        <v>47306.5</v>
      </c>
      <c r="AP6" s="408">
        <f>'Jakość portfela_Portf. quality'!AP69</f>
        <v>47807.299999999996</v>
      </c>
      <c r="AQ6" s="407">
        <f>'Jakość portfela_Portf. quality'!AQ69</f>
        <v>49343.8</v>
      </c>
      <c r="AR6" s="408">
        <f>'Jakość portfela_Portf. quality'!AR69</f>
        <v>50457.2</v>
      </c>
      <c r="AS6" s="408">
        <f>'Jakość portfela_Portf. quality'!AS69</f>
        <v>52100.700000000004</v>
      </c>
      <c r="AT6" s="408">
        <f>'Jakość portfela_Portf. quality'!AT69</f>
        <v>51534.6</v>
      </c>
      <c r="AU6" s="407">
        <f>'Jakość portfela_Portf. quality'!AU6</f>
        <v>51942.5</v>
      </c>
      <c r="AV6" s="408">
        <f>'Jakość portfela_Portf. quality'!AV6</f>
        <v>54179.200000000004</v>
      </c>
      <c r="AW6" s="408">
        <f>'Jakość portfela_Portf. quality'!AW6</f>
        <v>56859</v>
      </c>
      <c r="AX6" s="540">
        <f>'Jakość portfela_Portf. quality'!AX6</f>
        <v>58863.5</v>
      </c>
      <c r="AY6" s="541">
        <f>'Jakość portfela_Portf. quality'!AY6</f>
        <v>66846.600000000006</v>
      </c>
      <c r="AZ6" s="408">
        <f>'Jakość portfela_Portf. quality'!AZ6</f>
        <v>67579</v>
      </c>
      <c r="BA6" s="408">
        <f>'Jakość portfela_Portf. quality'!BA6</f>
        <v>70010.5</v>
      </c>
      <c r="BB6" s="408">
        <f>'Jakość portfela_Portf. quality'!BB6</f>
        <v>69916.7</v>
      </c>
      <c r="BC6" s="407">
        <f>'Jakość portfela_Portf. quality'!BC6</f>
        <v>72928.800000000003</v>
      </c>
      <c r="BD6" s="408">
        <f>'Jakość portfela_Portf. quality'!BD6</f>
        <v>68854.400000000009</v>
      </c>
      <c r="BE6" s="408">
        <f>'Jakość portfela_Portf. quality'!BE6</f>
        <v>69981.099999999991</v>
      </c>
      <c r="BF6" s="408">
        <f>'Jakość portfela_Portf. quality'!BF6</f>
        <v>70159.900000000009</v>
      </c>
    </row>
    <row r="7" spans="1:58" s="424" customFormat="1" ht="11.25">
      <c r="A7" s="421" t="s">
        <v>860</v>
      </c>
      <c r="B7" s="421" t="s">
        <v>857</v>
      </c>
      <c r="C7" s="405"/>
      <c r="D7" s="406"/>
      <c r="E7" s="406"/>
      <c r="F7" s="406"/>
      <c r="G7" s="405"/>
      <c r="H7" s="406">
        <f t="shared" ref="H7" si="0">+H5+H6</f>
        <v>19814.3</v>
      </c>
      <c r="I7" s="406">
        <f t="shared" ref="I7" si="1">+I5+I6</f>
        <v>22105.7</v>
      </c>
      <c r="J7" s="510">
        <f t="shared" ref="J7" si="2">+J5+J6</f>
        <v>24298.000000000004</v>
      </c>
      <c r="K7" s="405">
        <f t="shared" ref="K7" si="3">+K5+K6</f>
        <v>25614.5</v>
      </c>
      <c r="L7" s="406">
        <f t="shared" ref="L7" si="4">+L5+L6</f>
        <v>25776.7</v>
      </c>
      <c r="M7" s="406">
        <f t="shared" ref="M7" si="5">+M5+M6</f>
        <v>26134</v>
      </c>
      <c r="N7" s="510">
        <f t="shared" ref="N7" si="6">+N5+N6</f>
        <v>27361.4</v>
      </c>
      <c r="O7" s="405">
        <f t="shared" ref="O7" si="7">+O5+O6</f>
        <v>27576.400000000001</v>
      </c>
      <c r="P7" s="406">
        <f t="shared" ref="P7" si="8">+P5+P6</f>
        <v>28994.400000000001</v>
      </c>
      <c r="Q7" s="406">
        <f t="shared" ref="Q7" si="9">+Q5+Q6</f>
        <v>30667.8</v>
      </c>
      <c r="R7" s="510">
        <f t="shared" ref="R7" si="10">+R5+R6</f>
        <v>32178.299999999996</v>
      </c>
      <c r="S7" s="405">
        <f t="shared" ref="S7" si="11">+S5+S6</f>
        <v>32988.699999999997</v>
      </c>
      <c r="T7" s="406">
        <f t="shared" ref="T7" si="12">+T5+T6</f>
        <v>34754.699999999997</v>
      </c>
      <c r="U7" s="406">
        <f t="shared" ref="U7" si="13">+U5+U6</f>
        <v>36919.199999999997</v>
      </c>
      <c r="V7" s="510">
        <f t="shared" ref="V7" si="14">+V5+V6</f>
        <v>39466.1</v>
      </c>
      <c r="W7" s="405">
        <f t="shared" ref="W7" si="15">+W5+W6</f>
        <v>45105.899999999994</v>
      </c>
      <c r="X7" s="406">
        <f t="shared" ref="X7" si="16">+X5+X6</f>
        <v>45907.6</v>
      </c>
      <c r="Y7" s="406">
        <f t="shared" ref="Y7" si="17">+Y5+Y6</f>
        <v>46744.9</v>
      </c>
      <c r="Z7" s="510">
        <f t="shared" ref="Z7" si="18">+Z5+Z6</f>
        <v>46510</v>
      </c>
      <c r="AA7" s="405">
        <f t="shared" ref="AA7" si="19">+AA5+AA6</f>
        <v>46670.399999999994</v>
      </c>
      <c r="AB7" s="406">
        <f t="shared" ref="AB7" si="20">+AB5+AB6</f>
        <v>48136.7</v>
      </c>
      <c r="AC7" s="406">
        <f t="shared" ref="AC7" si="21">+AC5+AC6</f>
        <v>49764.5</v>
      </c>
      <c r="AD7" s="510">
        <f t="shared" ref="AD7" si="22">+AD5+AD6</f>
        <v>49982.299999999996</v>
      </c>
      <c r="AE7" s="405">
        <f t="shared" ref="AE7" si="23">+AE5+AE6</f>
        <v>52346.2</v>
      </c>
      <c r="AF7" s="406">
        <f t="shared" ref="AF7" si="24">+AF5+AF6</f>
        <v>55099.1</v>
      </c>
      <c r="AG7" s="406">
        <f t="shared" ref="AG7" si="25">+AG5+AG6</f>
        <v>57750.8</v>
      </c>
      <c r="AH7" s="510">
        <f t="shared" ref="AH7" si="26">+AH5+AH6</f>
        <v>58750.5</v>
      </c>
      <c r="AI7" s="405">
        <f t="shared" ref="AI7" si="27">+AI5+AI6</f>
        <v>61323.100000000006</v>
      </c>
      <c r="AJ7" s="406">
        <f t="shared" ref="AJ7" si="28">+AJ5+AJ6</f>
        <v>65943.7</v>
      </c>
      <c r="AK7" s="406">
        <f t="shared" ref="AK7" si="29">+AK5+AK6</f>
        <v>69046.5</v>
      </c>
      <c r="AL7" s="406">
        <f t="shared" ref="AL7" si="30">+AL5+AL6</f>
        <v>70046.899999999994</v>
      </c>
      <c r="AM7" s="405">
        <f t="shared" ref="AM7" si="31">+AM5+AM6</f>
        <v>72907</v>
      </c>
      <c r="AN7" s="406">
        <f t="shared" ref="AN7" si="32">+AN5+AN6</f>
        <v>75810.8</v>
      </c>
      <c r="AO7" s="406">
        <f t="shared" ref="AO7" si="33">+AO5+AO6</f>
        <v>77888.3</v>
      </c>
      <c r="AP7" s="406">
        <f t="shared" ref="AP7" si="34">+AP5+AP6</f>
        <v>79447.899999999994</v>
      </c>
      <c r="AQ7" s="405">
        <f t="shared" ref="AQ7:AW7" si="35">+AQ5+AQ6</f>
        <v>82130</v>
      </c>
      <c r="AR7" s="406">
        <f t="shared" si="35"/>
        <v>84778.5</v>
      </c>
      <c r="AS7" s="406">
        <f t="shared" si="35"/>
        <v>87896</v>
      </c>
      <c r="AT7" s="406">
        <f t="shared" si="35"/>
        <v>89043.6</v>
      </c>
      <c r="AU7" s="405">
        <f t="shared" si="35"/>
        <v>91367.2</v>
      </c>
      <c r="AV7" s="406">
        <f t="shared" si="35"/>
        <v>95902.3</v>
      </c>
      <c r="AW7" s="406">
        <f t="shared" si="35"/>
        <v>100398.8</v>
      </c>
      <c r="AX7" s="542">
        <f>+AX5+AX6</f>
        <v>104226.79999999999</v>
      </c>
      <c r="AY7" s="543">
        <f t="shared" ref="AY7:AZ7" si="36">+AY5+AY6</f>
        <v>108238.7</v>
      </c>
      <c r="AZ7" s="406">
        <f t="shared" si="36"/>
        <v>111280</v>
      </c>
      <c r="BA7" s="406">
        <f t="shared" ref="BA7:BC7" si="37">+BA5+BA6</f>
        <v>116205.5</v>
      </c>
      <c r="BB7" s="406">
        <f t="shared" si="37"/>
        <v>118277</v>
      </c>
      <c r="BC7" s="405">
        <f t="shared" si="37"/>
        <v>123869.2</v>
      </c>
      <c r="BD7" s="406">
        <f t="shared" ref="BD7:BE7" si="38">+BD5+BD6</f>
        <v>121460.6</v>
      </c>
      <c r="BE7" s="406">
        <f t="shared" si="38"/>
        <v>123742.9</v>
      </c>
      <c r="BF7" s="406">
        <f t="shared" ref="BF7" si="39">+BF5+BF6</f>
        <v>125990.20000000001</v>
      </c>
    </row>
    <row r="8" spans="1:58" s="424" customFormat="1" ht="11.25">
      <c r="A8" s="421"/>
      <c r="B8" s="508"/>
      <c r="C8" s="407"/>
      <c r="D8" s="408"/>
      <c r="E8" s="408"/>
      <c r="F8" s="408"/>
      <c r="G8" s="407"/>
      <c r="H8" s="408"/>
      <c r="I8" s="408"/>
      <c r="J8" s="504"/>
      <c r="K8" s="407"/>
      <c r="L8" s="408"/>
      <c r="M8" s="408"/>
      <c r="N8" s="504"/>
      <c r="O8" s="407"/>
      <c r="P8" s="408"/>
      <c r="Q8" s="408"/>
      <c r="R8" s="504"/>
      <c r="S8" s="407"/>
      <c r="T8" s="408"/>
      <c r="U8" s="408"/>
      <c r="V8" s="504"/>
      <c r="W8" s="407"/>
      <c r="X8" s="408"/>
      <c r="Y8" s="408"/>
      <c r="Z8" s="504"/>
      <c r="AA8" s="407"/>
      <c r="AB8" s="408"/>
      <c r="AC8" s="408"/>
      <c r="AD8" s="504"/>
      <c r="AE8" s="407"/>
      <c r="AF8" s="408"/>
      <c r="AG8" s="408"/>
      <c r="AH8" s="504"/>
      <c r="AI8" s="407"/>
      <c r="AJ8" s="408"/>
      <c r="AK8" s="408"/>
      <c r="AL8" s="408"/>
      <c r="AM8" s="407"/>
      <c r="AN8" s="408"/>
      <c r="AO8" s="408"/>
      <c r="AP8" s="408"/>
      <c r="AQ8" s="407"/>
      <c r="AR8" s="408"/>
      <c r="AS8" s="408"/>
      <c r="AT8" s="408"/>
      <c r="AU8" s="407"/>
      <c r="AV8" s="408"/>
      <c r="AW8" s="408"/>
      <c r="AX8" s="540"/>
      <c r="AY8" s="541"/>
      <c r="AZ8" s="408"/>
      <c r="BA8" s="408"/>
      <c r="BB8" s="408"/>
      <c r="BC8" s="407"/>
      <c r="BD8" s="408"/>
      <c r="BE8" s="408"/>
      <c r="BF8" s="408"/>
    </row>
    <row r="9" spans="1:58" s="418" customFormat="1" ht="11.25">
      <c r="A9" s="411" t="s">
        <v>814</v>
      </c>
      <c r="B9" s="411" t="s">
        <v>811</v>
      </c>
      <c r="C9" s="407"/>
      <c r="D9" s="408"/>
      <c r="E9" s="408"/>
      <c r="F9" s="408"/>
      <c r="G9" s="407"/>
      <c r="H9" s="408"/>
      <c r="I9" s="408">
        <f>'RZiS B. Detaliczna_P&amp;L Retail'!I15</f>
        <v>4.9000000000000004</v>
      </c>
      <c r="J9" s="504">
        <f>'RZiS B. Detaliczna_P&amp;L Retail'!J15</f>
        <v>20.100000000000001</v>
      </c>
      <c r="K9" s="407">
        <f>'RZiS B. Detaliczna_P&amp;L Retail'!K15</f>
        <v>12.8</v>
      </c>
      <c r="L9" s="408">
        <f>'RZiS B. Detaliczna_P&amp;L Retail'!L15</f>
        <v>6.8</v>
      </c>
      <c r="M9" s="408">
        <f>'RZiS B. Detaliczna_P&amp;L Retail'!M15</f>
        <v>21.4</v>
      </c>
      <c r="N9" s="504">
        <f>'RZiS B. Detaliczna_P&amp;L Retail'!N15</f>
        <v>22.8</v>
      </c>
      <c r="O9" s="407">
        <f>'RZiS B. Detaliczna_P&amp;L Retail'!O15</f>
        <v>21.2</v>
      </c>
      <c r="P9" s="408">
        <f>'RZiS B. Detaliczna_P&amp;L Retail'!P15</f>
        <v>13</v>
      </c>
      <c r="Q9" s="408">
        <f>'RZiS B. Detaliczna_P&amp;L Retail'!Q15</f>
        <v>21.3</v>
      </c>
      <c r="R9" s="504">
        <f>'RZiS B. Detaliczna_P&amp;L Retail'!R15</f>
        <v>25.6</v>
      </c>
      <c r="S9" s="407">
        <f>'RZiS B. Detaliczna_P&amp;L Retail'!S15</f>
        <v>33.9</v>
      </c>
      <c r="T9" s="408">
        <f>'RZiS B. Detaliczna_P&amp;L Retail'!T15</f>
        <v>21.2</v>
      </c>
      <c r="U9" s="408">
        <f>'RZiS B. Detaliczna_P&amp;L Retail'!U15</f>
        <v>21</v>
      </c>
      <c r="V9" s="504">
        <f>'RZiS B. Detaliczna_P&amp;L Retail'!V15</f>
        <v>14.1</v>
      </c>
      <c r="W9" s="407">
        <f>'RZiS B. Detaliczna_P&amp;L Retail'!W15</f>
        <v>19.2</v>
      </c>
      <c r="X9" s="408">
        <f>'RZiS B. Detaliczna_P&amp;L Retail'!X15</f>
        <v>25.2</v>
      </c>
      <c r="Y9" s="408">
        <f>'RZiS B. Detaliczna_P&amp;L Retail'!Y15</f>
        <v>21.5</v>
      </c>
      <c r="Z9" s="504">
        <f>'RZiS B. Detaliczna_P&amp;L Retail'!Z15</f>
        <v>24.2</v>
      </c>
      <c r="AA9" s="407">
        <f>'RZiS B. Detaliczna_P&amp;L Retail'!AA15</f>
        <v>37.98092087615715</v>
      </c>
      <c r="AB9" s="408">
        <f>'RZiS B. Detaliczna_P&amp;L Retail'!AB15</f>
        <v>40.428718098421875</v>
      </c>
      <c r="AC9" s="408">
        <f>'RZiS B. Detaliczna_P&amp;L Retail'!AC15</f>
        <v>33.010278386543447</v>
      </c>
      <c r="AD9" s="504">
        <f>'RZiS B. Detaliczna_P&amp;L Retail'!AD15</f>
        <v>17.01505583014783</v>
      </c>
      <c r="AE9" s="407">
        <f>'RZiS B. Detaliczna_P&amp;L Retail'!AE15</f>
        <v>36.700000000000003</v>
      </c>
      <c r="AF9" s="408">
        <f>'RZiS B. Detaliczna_P&amp;L Retail'!AF15</f>
        <v>10.6</v>
      </c>
      <c r="AG9" s="408">
        <f>'RZiS B. Detaliczna_P&amp;L Retail'!AG15</f>
        <v>13.2</v>
      </c>
      <c r="AH9" s="504">
        <f>'RZiS B. Detaliczna_P&amp;L Retail'!AH15</f>
        <v>18.2</v>
      </c>
      <c r="AI9" s="407">
        <f>'RZiS B. Detaliczna_P&amp;L Retail'!AI15</f>
        <v>33.799999999999997</v>
      </c>
      <c r="AJ9" s="408">
        <f>'RZiS B. Detaliczna_P&amp;L Retail'!AJ15</f>
        <v>23.6</v>
      </c>
      <c r="AK9" s="408">
        <f>'RZiS B. Detaliczna_P&amp;L Retail'!AK15</f>
        <v>7.8</v>
      </c>
      <c r="AL9" s="408">
        <f>'RZiS B. Detaliczna_P&amp;L Retail'!AL15</f>
        <v>4.5999999999999996</v>
      </c>
      <c r="AM9" s="407">
        <f>'RZiS B. Detaliczna_P&amp;L Retail'!AM15</f>
        <v>16.399999999999999</v>
      </c>
      <c r="AN9" s="408">
        <f>'RZiS B. Detaliczna_P&amp;L Retail'!AN15</f>
        <v>20.6</v>
      </c>
      <c r="AO9" s="408">
        <f>'RZiS B. Detaliczna_P&amp;L Retail'!AO15</f>
        <v>25.4</v>
      </c>
      <c r="AP9" s="408">
        <f>'RZiS B. Detaliczna_P&amp;L Retail'!AP15</f>
        <v>75.099999999999994</v>
      </c>
      <c r="AQ9" s="407">
        <f>'RZiS B. Detaliczna_P&amp;L Retail'!AQ15</f>
        <v>42.8</v>
      </c>
      <c r="AR9" s="408">
        <f>'RZiS B. Detaliczna_P&amp;L Retail'!AR15</f>
        <v>43.8</v>
      </c>
      <c r="AS9" s="408">
        <f>'RZiS B. Detaliczna_P&amp;L Retail'!AS15</f>
        <v>39.799999999999997</v>
      </c>
      <c r="AT9" s="408">
        <f>'RZiS B. Detaliczna_P&amp;L Retail'!AT15</f>
        <v>33.9</v>
      </c>
      <c r="AU9" s="407">
        <f>'RZiS B. Detaliczna_P&amp;L Retail'!AU15</f>
        <v>37.5</v>
      </c>
      <c r="AV9" s="408">
        <f>'RZiS B. Detaliczna_P&amp;L Retail'!AV15</f>
        <v>103.3</v>
      </c>
      <c r="AW9" s="408">
        <f>'RZiS B. Detaliczna_P&amp;L Retail'!AW15</f>
        <v>41.7</v>
      </c>
      <c r="AX9" s="540">
        <f>'RZiS B. Detaliczna_P&amp;L Retail'!AX15</f>
        <v>88.5</v>
      </c>
      <c r="AY9" s="541">
        <f>'RZiS B. Detaliczna_P&amp;L Retail'!AY15</f>
        <v>29.3</v>
      </c>
      <c r="AZ9" s="408">
        <f>'RZiS B. Detaliczna_P&amp;L Retail'!AZ15</f>
        <v>32.4</v>
      </c>
      <c r="BA9" s="408">
        <f>'RZiS B. Detaliczna_P&amp;L Retail'!BA15</f>
        <v>60.8</v>
      </c>
      <c r="BB9" s="408">
        <f>'RZiS B. Detaliczna_P&amp;L Retail'!BB15</f>
        <v>71.099999999999994</v>
      </c>
      <c r="BC9" s="407">
        <f>'RZiS B. Detaliczna_P&amp;L Retail'!BC15</f>
        <v>109.5</v>
      </c>
      <c r="BD9" s="408">
        <f>'RZiS B. Detaliczna_P&amp;L Retail'!BD15</f>
        <v>70.8</v>
      </c>
      <c r="BE9" s="408">
        <f>'RZiS B. Detaliczna_P&amp;L Retail'!BE15</f>
        <v>82.4</v>
      </c>
      <c r="BF9" s="408">
        <f>'RZiS B. Detaliczna_P&amp;L Retail'!BF15</f>
        <v>323.60000000000002</v>
      </c>
    </row>
    <row r="10" spans="1:58" s="424" customFormat="1" ht="11.25">
      <c r="A10" s="411" t="s">
        <v>815</v>
      </c>
      <c r="B10" s="411" t="s">
        <v>812</v>
      </c>
      <c r="C10" s="407"/>
      <c r="D10" s="408"/>
      <c r="E10" s="408"/>
      <c r="F10" s="408"/>
      <c r="G10" s="407"/>
      <c r="H10" s="408"/>
      <c r="I10" s="408">
        <f>'RZiS B. Korp._P&amp;L Corporate'!I15</f>
        <v>2.2999999999999998</v>
      </c>
      <c r="J10" s="504">
        <f>'RZiS B. Korp._P&amp;L Corporate'!J15</f>
        <v>96.4</v>
      </c>
      <c r="K10" s="407">
        <f>'RZiS B. Korp._P&amp;L Corporate'!K15</f>
        <v>78.900000000000006</v>
      </c>
      <c r="L10" s="408">
        <f>'RZiS B. Korp._P&amp;L Corporate'!L15</f>
        <v>67</v>
      </c>
      <c r="M10" s="408">
        <f>'RZiS B. Korp._P&amp;L Corporate'!M15</f>
        <v>32.700000000000003</v>
      </c>
      <c r="N10" s="504">
        <f>'RZiS B. Korp._P&amp;L Corporate'!N15</f>
        <v>62</v>
      </c>
      <c r="O10" s="407">
        <f>'RZiS B. Korp._P&amp;L Corporate'!O15</f>
        <v>26.9</v>
      </c>
      <c r="P10" s="408">
        <f>'RZiS B. Korp._P&amp;L Corporate'!P15</f>
        <v>26.2</v>
      </c>
      <c r="Q10" s="408">
        <f>'RZiS B. Korp._P&amp;L Corporate'!Q15</f>
        <v>33.799999999999997</v>
      </c>
      <c r="R10" s="504">
        <f>'RZiS B. Korp._P&amp;L Corporate'!R15</f>
        <v>35.6</v>
      </c>
      <c r="S10" s="407">
        <f>'RZiS B. Korp._P&amp;L Corporate'!S15</f>
        <v>23.2</v>
      </c>
      <c r="T10" s="408">
        <f>'RZiS B. Korp._P&amp;L Corporate'!T15</f>
        <v>16.5</v>
      </c>
      <c r="U10" s="408">
        <f>'RZiS B. Korp._P&amp;L Corporate'!U15</f>
        <v>6.1</v>
      </c>
      <c r="V10" s="504">
        <f>'RZiS B. Korp._P&amp;L Corporate'!V15</f>
        <v>36.4</v>
      </c>
      <c r="W10" s="407">
        <f>'RZiS B. Korp._P&amp;L Corporate'!W15</f>
        <v>45.1</v>
      </c>
      <c r="X10" s="408">
        <f>'RZiS B. Korp._P&amp;L Corporate'!X15</f>
        <v>106</v>
      </c>
      <c r="Y10" s="408">
        <f>'RZiS B. Korp._P&amp;L Corporate'!Y15</f>
        <v>61.1</v>
      </c>
      <c r="Z10" s="504">
        <f>'RZiS B. Korp._P&amp;L Corporate'!Z15</f>
        <v>60.5</v>
      </c>
      <c r="AA10" s="407">
        <f>'RZiS B. Korp._P&amp;L Corporate'!AA15</f>
        <v>20.01907912384285</v>
      </c>
      <c r="AB10" s="408">
        <f>'RZiS B. Korp._P&amp;L Corporate'!AB15</f>
        <v>28.671281901578119</v>
      </c>
      <c r="AC10" s="408">
        <f>'RZiS B. Korp._P&amp;L Corporate'!AC15</f>
        <v>30.68972161345657</v>
      </c>
      <c r="AD10" s="504">
        <f>'RZiS B. Korp._P&amp;L Corporate'!AD15</f>
        <v>59.384944169852147</v>
      </c>
      <c r="AE10" s="407">
        <f>'RZiS B. Korp._P&amp;L Corporate'!AE15</f>
        <v>47.4</v>
      </c>
      <c r="AF10" s="408">
        <f>'RZiS B. Korp._P&amp;L Corporate'!AF15</f>
        <v>22.7</v>
      </c>
      <c r="AG10" s="408">
        <f>'RZiS B. Korp._P&amp;L Corporate'!AG15</f>
        <v>52</v>
      </c>
      <c r="AH10" s="504">
        <f>'RZiS B. Korp._P&amp;L Corporate'!AH15</f>
        <v>66.900000000000006</v>
      </c>
      <c r="AI10" s="407">
        <f>'RZiS B. Korp._P&amp;L Corporate'!AI15</f>
        <v>50.5</v>
      </c>
      <c r="AJ10" s="408">
        <f>'RZiS B. Korp._P&amp;L Corporate'!AJ15</f>
        <v>40.700000000000003</v>
      </c>
      <c r="AK10" s="408">
        <f>'RZiS B. Korp._P&amp;L Corporate'!AK15</f>
        <v>24.2</v>
      </c>
      <c r="AL10" s="408">
        <f>'RZiS B. Korp._P&amp;L Corporate'!AL15</f>
        <v>46.9</v>
      </c>
      <c r="AM10" s="407">
        <f>'RZiS B. Korp._P&amp;L Corporate'!AM15</f>
        <v>62.5</v>
      </c>
      <c r="AN10" s="408">
        <f>'RZiS B. Korp._P&amp;L Corporate'!AN15</f>
        <v>12.9</v>
      </c>
      <c r="AO10" s="408">
        <f>'RZiS B. Korp._P&amp;L Corporate'!AO15</f>
        <v>24.3</v>
      </c>
      <c r="AP10" s="408">
        <f>'RZiS B. Korp._P&amp;L Corporate'!AP15</f>
        <v>63.4</v>
      </c>
      <c r="AQ10" s="407">
        <f>'RZiS B. Korp._P&amp;L Corporate'!AQ15</f>
        <v>33.6</v>
      </c>
      <c r="AR10" s="408">
        <f>'RZiS B. Korp._P&amp;L Corporate'!AR15</f>
        <v>79.3</v>
      </c>
      <c r="AS10" s="408">
        <f>'RZiS B. Korp._P&amp;L Corporate'!AS15</f>
        <v>69.3</v>
      </c>
      <c r="AT10" s="408">
        <f>'RZiS B. Korp._P&amp;L Corporate'!AT15</f>
        <v>78.7</v>
      </c>
      <c r="AU10" s="407">
        <f>'RZiS B. Korp._P&amp;L Corporate'!AU15</f>
        <v>57.3</v>
      </c>
      <c r="AV10" s="408">
        <f>'RZiS B. Korp._P&amp;L Corporate'!AV15</f>
        <v>70.400000000000006</v>
      </c>
      <c r="AW10" s="408">
        <f>'RZiS B. Korp._P&amp;L Corporate'!AW15</f>
        <v>92.2</v>
      </c>
      <c r="AX10" s="540">
        <f>'RZiS B. Korp._P&amp;L Corporate'!AX15</f>
        <v>10</v>
      </c>
      <c r="AY10" s="541">
        <f>'RZiS B. Korp._P&amp;L Corporate'!AY15</f>
        <v>95.7</v>
      </c>
      <c r="AZ10" s="408">
        <f>'RZiS B. Korp._P&amp;L Corporate'!AZ15</f>
        <v>103.5</v>
      </c>
      <c r="BA10" s="408">
        <f>'RZiS B. Korp._P&amp;L Corporate'!BA15</f>
        <v>119.4</v>
      </c>
      <c r="BB10" s="408">
        <f>'RZiS B. Korp._P&amp;L Corporate'!BB15</f>
        <v>93.3</v>
      </c>
      <c r="BC10" s="407">
        <f>'RZiS B. Korp._P&amp;L Corporate'!BC15</f>
        <v>185.2</v>
      </c>
      <c r="BD10" s="408">
        <f>'RZiS B. Korp._P&amp;L Corporate'!BD15</f>
        <v>241.6</v>
      </c>
      <c r="BE10" s="408">
        <f>'RZiS B. Korp._P&amp;L Corporate'!BE15</f>
        <v>62.9</v>
      </c>
      <c r="BF10" s="408">
        <f>'RZiS B. Korp._P&amp;L Corporate'!BF15</f>
        <v>-1.1000000000000001</v>
      </c>
    </row>
    <row r="11" spans="1:58" s="424" customFormat="1" ht="11.25">
      <c r="A11" s="421" t="s">
        <v>816</v>
      </c>
      <c r="B11" s="421" t="s">
        <v>813</v>
      </c>
      <c r="C11" s="405"/>
      <c r="D11" s="406"/>
      <c r="E11" s="406"/>
      <c r="F11" s="406"/>
      <c r="G11" s="405"/>
      <c r="H11" s="406"/>
      <c r="I11" s="406">
        <f t="shared" ref="I11:AW11" si="40">+I9+I10</f>
        <v>7.2</v>
      </c>
      <c r="J11" s="510">
        <f t="shared" si="40"/>
        <v>116.5</v>
      </c>
      <c r="K11" s="405">
        <f t="shared" si="40"/>
        <v>91.7</v>
      </c>
      <c r="L11" s="406">
        <f t="shared" si="40"/>
        <v>73.8</v>
      </c>
      <c r="M11" s="406">
        <f t="shared" si="40"/>
        <v>54.1</v>
      </c>
      <c r="N11" s="510">
        <f t="shared" si="40"/>
        <v>84.8</v>
      </c>
      <c r="O11" s="405">
        <f t="shared" si="40"/>
        <v>48.099999999999994</v>
      </c>
      <c r="P11" s="406">
        <f t="shared" si="40"/>
        <v>39.200000000000003</v>
      </c>
      <c r="Q11" s="406">
        <f t="shared" si="40"/>
        <v>55.099999999999994</v>
      </c>
      <c r="R11" s="510">
        <f t="shared" si="40"/>
        <v>61.2</v>
      </c>
      <c r="S11" s="405">
        <f t="shared" si="40"/>
        <v>57.099999999999994</v>
      </c>
      <c r="T11" s="406">
        <f t="shared" si="40"/>
        <v>37.700000000000003</v>
      </c>
      <c r="U11" s="406">
        <f t="shared" si="40"/>
        <v>27.1</v>
      </c>
      <c r="V11" s="510">
        <f t="shared" si="40"/>
        <v>50.5</v>
      </c>
      <c r="W11" s="405">
        <f t="shared" si="40"/>
        <v>64.3</v>
      </c>
      <c r="X11" s="406">
        <f t="shared" si="40"/>
        <v>131.19999999999999</v>
      </c>
      <c r="Y11" s="406">
        <f t="shared" si="40"/>
        <v>82.6</v>
      </c>
      <c r="Z11" s="510">
        <f t="shared" si="40"/>
        <v>84.7</v>
      </c>
      <c r="AA11" s="405">
        <f t="shared" si="40"/>
        <v>58</v>
      </c>
      <c r="AB11" s="406">
        <f t="shared" si="40"/>
        <v>69.099999999999994</v>
      </c>
      <c r="AC11" s="406">
        <f t="shared" si="40"/>
        <v>63.700000000000017</v>
      </c>
      <c r="AD11" s="510">
        <f t="shared" si="40"/>
        <v>76.399999999999977</v>
      </c>
      <c r="AE11" s="405">
        <f t="shared" si="40"/>
        <v>84.1</v>
      </c>
      <c r="AF11" s="406">
        <f t="shared" si="40"/>
        <v>33.299999999999997</v>
      </c>
      <c r="AG11" s="406">
        <f t="shared" si="40"/>
        <v>65.2</v>
      </c>
      <c r="AH11" s="510">
        <f t="shared" si="40"/>
        <v>85.100000000000009</v>
      </c>
      <c r="AI11" s="405">
        <f t="shared" si="40"/>
        <v>84.3</v>
      </c>
      <c r="AJ11" s="406">
        <f t="shared" si="40"/>
        <v>64.300000000000011</v>
      </c>
      <c r="AK11" s="406">
        <f t="shared" si="40"/>
        <v>32</v>
      </c>
      <c r="AL11" s="406">
        <f t="shared" si="40"/>
        <v>51.5</v>
      </c>
      <c r="AM11" s="405">
        <f t="shared" si="40"/>
        <v>78.900000000000006</v>
      </c>
      <c r="AN11" s="406">
        <f t="shared" si="40"/>
        <v>33.5</v>
      </c>
      <c r="AO11" s="406">
        <f t="shared" si="40"/>
        <v>49.7</v>
      </c>
      <c r="AP11" s="406">
        <f t="shared" si="40"/>
        <v>138.5</v>
      </c>
      <c r="AQ11" s="405">
        <f t="shared" si="40"/>
        <v>76.400000000000006</v>
      </c>
      <c r="AR11" s="406">
        <f t="shared" si="40"/>
        <v>123.1</v>
      </c>
      <c r="AS11" s="406">
        <f t="shared" si="40"/>
        <v>109.1</v>
      </c>
      <c r="AT11" s="406">
        <f t="shared" si="40"/>
        <v>112.6</v>
      </c>
      <c r="AU11" s="405">
        <f t="shared" si="40"/>
        <v>94.8</v>
      </c>
      <c r="AV11" s="406">
        <f t="shared" si="40"/>
        <v>173.7</v>
      </c>
      <c r="AW11" s="406">
        <f t="shared" si="40"/>
        <v>133.9</v>
      </c>
      <c r="AX11" s="542">
        <f>+AX9+AX10</f>
        <v>98.5</v>
      </c>
      <c r="AY11" s="543">
        <f t="shared" ref="AY11:AZ11" si="41">+AY9+AY10</f>
        <v>125</v>
      </c>
      <c r="AZ11" s="406">
        <f t="shared" si="41"/>
        <v>135.9</v>
      </c>
      <c r="BA11" s="406">
        <f t="shared" ref="BA11:BC11" si="42">+BA9+BA10</f>
        <v>180.2</v>
      </c>
      <c r="BB11" s="406">
        <f t="shared" si="42"/>
        <v>164.39999999999998</v>
      </c>
      <c r="BC11" s="405">
        <f t="shared" si="42"/>
        <v>294.7</v>
      </c>
      <c r="BD11" s="406">
        <f t="shared" ref="BD11:BE11" si="43">+BD9+BD10</f>
        <v>312.39999999999998</v>
      </c>
      <c r="BE11" s="406">
        <f t="shared" si="43"/>
        <v>145.30000000000001</v>
      </c>
      <c r="BF11" s="406">
        <f t="shared" ref="BF11" si="44">+BF9+BF10</f>
        <v>322.5</v>
      </c>
    </row>
    <row r="12" spans="1:58" s="424" customFormat="1" ht="11.25">
      <c r="A12" s="421"/>
      <c r="B12" s="508"/>
      <c r="C12" s="407"/>
      <c r="D12" s="408"/>
      <c r="E12" s="408"/>
      <c r="F12" s="408"/>
      <c r="G12" s="407"/>
      <c r="H12" s="408"/>
      <c r="I12" s="408"/>
      <c r="J12" s="504"/>
      <c r="K12" s="407"/>
      <c r="L12" s="408"/>
      <c r="M12" s="408"/>
      <c r="N12" s="504"/>
      <c r="O12" s="407"/>
      <c r="P12" s="408"/>
      <c r="Q12" s="408"/>
      <c r="R12" s="504"/>
      <c r="S12" s="407"/>
      <c r="T12" s="408"/>
      <c r="U12" s="408"/>
      <c r="V12" s="504"/>
      <c r="W12" s="407"/>
      <c r="X12" s="408"/>
      <c r="Y12" s="408"/>
      <c r="Z12" s="504"/>
      <c r="AA12" s="407"/>
      <c r="AB12" s="408"/>
      <c r="AC12" s="408"/>
      <c r="AD12" s="504"/>
      <c r="AE12" s="407"/>
      <c r="AF12" s="408"/>
      <c r="AG12" s="408"/>
      <c r="AH12" s="504"/>
      <c r="AI12" s="407"/>
      <c r="AJ12" s="408"/>
      <c r="AK12" s="408"/>
      <c r="AL12" s="408"/>
      <c r="AM12" s="407"/>
      <c r="AN12" s="408"/>
      <c r="AO12" s="408"/>
      <c r="AP12" s="408"/>
      <c r="AQ12" s="407"/>
      <c r="AR12" s="408"/>
      <c r="AS12" s="408"/>
      <c r="AT12" s="408"/>
      <c r="AU12" s="407"/>
      <c r="AV12" s="408"/>
      <c r="AW12" s="408"/>
      <c r="AX12" s="540"/>
      <c r="AY12" s="541"/>
      <c r="AZ12" s="408"/>
      <c r="BA12" s="408"/>
      <c r="BB12" s="408"/>
      <c r="BC12" s="407"/>
      <c r="BD12" s="408"/>
      <c r="BE12" s="408"/>
      <c r="BF12" s="408"/>
    </row>
    <row r="13" spans="1:58" s="424" customFormat="1" ht="11.25">
      <c r="A13" s="411" t="s">
        <v>894</v>
      </c>
      <c r="B13" s="508" t="s">
        <v>891</v>
      </c>
      <c r="C13" s="408"/>
      <c r="D13" s="408"/>
      <c r="E13" s="408"/>
      <c r="F13" s="408"/>
      <c r="G13" s="407"/>
      <c r="H13" s="408"/>
      <c r="I13" s="408"/>
      <c r="J13" s="408"/>
      <c r="K13" s="407"/>
      <c r="L13" s="408"/>
      <c r="M13" s="408"/>
      <c r="N13" s="408"/>
      <c r="O13" s="407"/>
      <c r="P13" s="408"/>
      <c r="Q13" s="408"/>
      <c r="R13" s="408"/>
      <c r="S13" s="407"/>
      <c r="T13" s="408"/>
      <c r="U13" s="408"/>
      <c r="V13" s="408"/>
      <c r="W13" s="407"/>
      <c r="X13" s="408"/>
      <c r="Y13" s="408"/>
      <c r="Z13" s="408"/>
      <c r="AA13" s="407"/>
      <c r="AB13" s="408"/>
      <c r="AC13" s="408"/>
      <c r="AD13" s="408"/>
      <c r="AE13" s="407"/>
      <c r="AF13" s="408"/>
      <c r="AG13" s="408"/>
      <c r="AH13" s="408"/>
      <c r="AI13" s="407"/>
      <c r="AJ13" s="408"/>
      <c r="AK13" s="408"/>
      <c r="AL13" s="408"/>
      <c r="AM13" s="407"/>
      <c r="AN13" s="408"/>
      <c r="AO13" s="408"/>
      <c r="AP13" s="408"/>
      <c r="AQ13" s="407">
        <v>0</v>
      </c>
      <c r="AR13" s="408">
        <v>0</v>
      </c>
      <c r="AS13" s="408">
        <v>-11</v>
      </c>
      <c r="AT13" s="408">
        <v>0</v>
      </c>
      <c r="AU13" s="407">
        <v>0</v>
      </c>
      <c r="AV13" s="408">
        <v>0</v>
      </c>
      <c r="AW13" s="408">
        <v>-24.9</v>
      </c>
      <c r="AX13" s="540">
        <v>0</v>
      </c>
      <c r="AY13" s="541">
        <v>0</v>
      </c>
      <c r="AZ13" s="408">
        <v>0</v>
      </c>
      <c r="BA13" s="408">
        <v>0</v>
      </c>
      <c r="BB13" s="408">
        <v>-23.2</v>
      </c>
      <c r="BC13" s="407">
        <v>0</v>
      </c>
      <c r="BD13" s="408">
        <v>0</v>
      </c>
      <c r="BE13" s="408">
        <v>0</v>
      </c>
      <c r="BF13" s="408">
        <v>0</v>
      </c>
    </row>
    <row r="14" spans="1:58" s="424" customFormat="1" ht="11.25">
      <c r="A14" s="411" t="s">
        <v>895</v>
      </c>
      <c r="B14" s="508" t="s">
        <v>892</v>
      </c>
      <c r="C14" s="408"/>
      <c r="D14" s="408"/>
      <c r="E14" s="408"/>
      <c r="F14" s="408"/>
      <c r="G14" s="407"/>
      <c r="H14" s="408"/>
      <c r="I14" s="408"/>
      <c r="J14" s="408"/>
      <c r="K14" s="407"/>
      <c r="L14" s="408"/>
      <c r="M14" s="408"/>
      <c r="N14" s="408"/>
      <c r="O14" s="407"/>
      <c r="P14" s="408"/>
      <c r="Q14" s="408"/>
      <c r="R14" s="408"/>
      <c r="S14" s="407"/>
      <c r="T14" s="408"/>
      <c r="U14" s="408"/>
      <c r="V14" s="408"/>
      <c r="W14" s="407"/>
      <c r="X14" s="408"/>
      <c r="Y14" s="408"/>
      <c r="Z14" s="408"/>
      <c r="AA14" s="407"/>
      <c r="AB14" s="408"/>
      <c r="AC14" s="408"/>
      <c r="AD14" s="408"/>
      <c r="AE14" s="407"/>
      <c r="AF14" s="408"/>
      <c r="AG14" s="408"/>
      <c r="AH14" s="408"/>
      <c r="AI14" s="407"/>
      <c r="AJ14" s="408"/>
      <c r="AK14" s="408"/>
      <c r="AL14" s="408"/>
      <c r="AM14" s="407"/>
      <c r="AN14" s="408"/>
      <c r="AO14" s="408"/>
      <c r="AP14" s="408"/>
      <c r="AQ14" s="407">
        <v>-1.3</v>
      </c>
      <c r="AR14" s="408">
        <v>-9.5</v>
      </c>
      <c r="AS14" s="408">
        <v>0</v>
      </c>
      <c r="AT14" s="408">
        <v>-25.4</v>
      </c>
      <c r="AU14" s="407">
        <v>-1.1000000000000001</v>
      </c>
      <c r="AV14" s="408">
        <v>0</v>
      </c>
      <c r="AW14" s="408">
        <v>-0.7</v>
      </c>
      <c r="AX14" s="540">
        <v>0</v>
      </c>
      <c r="AY14" s="541">
        <v>-9.8000000000000007</v>
      </c>
      <c r="AZ14" s="408">
        <v>0</v>
      </c>
      <c r="BA14" s="408">
        <v>0</v>
      </c>
      <c r="BB14" s="408">
        <v>-1.3</v>
      </c>
      <c r="BC14" s="407">
        <v>-4.0999999999999996</v>
      </c>
      <c r="BD14" s="408">
        <v>0</v>
      </c>
      <c r="BE14" s="408">
        <v>0</v>
      </c>
      <c r="BF14" s="408">
        <v>0</v>
      </c>
    </row>
    <row r="15" spans="1:58" s="424" customFormat="1" ht="11.25">
      <c r="A15" s="421" t="s">
        <v>896</v>
      </c>
      <c r="B15" s="509" t="s">
        <v>893</v>
      </c>
      <c r="C15" s="406"/>
      <c r="D15" s="406"/>
      <c r="E15" s="406"/>
      <c r="F15" s="406"/>
      <c r="G15" s="405"/>
      <c r="H15" s="406"/>
      <c r="I15" s="406"/>
      <c r="J15" s="406"/>
      <c r="K15" s="405"/>
      <c r="L15" s="406"/>
      <c r="M15" s="406"/>
      <c r="N15" s="406"/>
      <c r="O15" s="405"/>
      <c r="P15" s="406"/>
      <c r="Q15" s="406"/>
      <c r="R15" s="406"/>
      <c r="S15" s="405"/>
      <c r="T15" s="406"/>
      <c r="U15" s="406"/>
      <c r="V15" s="406"/>
      <c r="W15" s="405"/>
      <c r="X15" s="406"/>
      <c r="Y15" s="406"/>
      <c r="Z15" s="406"/>
      <c r="AA15" s="405"/>
      <c r="AB15" s="406"/>
      <c r="AC15" s="406"/>
      <c r="AD15" s="406"/>
      <c r="AE15" s="405"/>
      <c r="AF15" s="406"/>
      <c r="AG15" s="406"/>
      <c r="AH15" s="406"/>
      <c r="AI15" s="405"/>
      <c r="AJ15" s="406"/>
      <c r="AK15" s="406"/>
      <c r="AL15" s="406"/>
      <c r="AM15" s="405"/>
      <c r="AN15" s="406"/>
      <c r="AO15" s="406"/>
      <c r="AP15" s="406"/>
      <c r="AQ15" s="405">
        <f t="shared" ref="AQ15" si="45">+AQ13+AQ14</f>
        <v>-1.3</v>
      </c>
      <c r="AR15" s="406">
        <f t="shared" ref="AR15" si="46">+AR13+AR14</f>
        <v>-9.5</v>
      </c>
      <c r="AS15" s="406">
        <f t="shared" ref="AS15:AT15" si="47">+AS13+AS14</f>
        <v>-11</v>
      </c>
      <c r="AT15" s="406">
        <f t="shared" si="47"/>
        <v>-25.4</v>
      </c>
      <c r="AU15" s="405">
        <f t="shared" ref="AU15" si="48">+AU13+AU14</f>
        <v>-1.1000000000000001</v>
      </c>
      <c r="AV15" s="406">
        <f t="shared" ref="AV15" si="49">+AV13+AV14</f>
        <v>0</v>
      </c>
      <c r="AW15" s="406">
        <f t="shared" ref="AW15:AY15" si="50">+AW13+AW14</f>
        <v>-25.599999999999998</v>
      </c>
      <c r="AX15" s="542">
        <f t="shared" si="50"/>
        <v>0</v>
      </c>
      <c r="AY15" s="543">
        <f t="shared" si="50"/>
        <v>-9.8000000000000007</v>
      </c>
      <c r="AZ15" s="406">
        <f t="shared" ref="AZ15:BA15" si="51">+AZ13+AZ14</f>
        <v>0</v>
      </c>
      <c r="BA15" s="406">
        <f t="shared" si="51"/>
        <v>0</v>
      </c>
      <c r="BB15" s="406">
        <f t="shared" ref="BB15:BC15" si="52">+BB13+BB14</f>
        <v>-24.5</v>
      </c>
      <c r="BC15" s="405">
        <f t="shared" si="52"/>
        <v>-4.0999999999999996</v>
      </c>
      <c r="BD15" s="406">
        <f t="shared" ref="BD15:BF15" si="53">+BD13+BD14</f>
        <v>0</v>
      </c>
      <c r="BE15" s="406">
        <f t="shared" si="53"/>
        <v>0</v>
      </c>
      <c r="BF15" s="406">
        <f t="shared" si="53"/>
        <v>0</v>
      </c>
    </row>
    <row r="16" spans="1:58" s="424" customFormat="1" ht="11.25">
      <c r="A16" s="421"/>
      <c r="B16" s="508"/>
      <c r="C16" s="408"/>
      <c r="D16" s="408"/>
      <c r="E16" s="408"/>
      <c r="F16" s="408"/>
      <c r="G16" s="407"/>
      <c r="H16" s="408"/>
      <c r="I16" s="408"/>
      <c r="J16" s="408"/>
      <c r="K16" s="407"/>
      <c r="L16" s="408"/>
      <c r="M16" s="408"/>
      <c r="N16" s="408"/>
      <c r="O16" s="407"/>
      <c r="P16" s="408"/>
      <c r="Q16" s="408"/>
      <c r="R16" s="408"/>
      <c r="S16" s="407"/>
      <c r="T16" s="408"/>
      <c r="U16" s="408"/>
      <c r="V16" s="408"/>
      <c r="W16" s="407"/>
      <c r="X16" s="408"/>
      <c r="Y16" s="408"/>
      <c r="Z16" s="408"/>
      <c r="AA16" s="407"/>
      <c r="AB16" s="408"/>
      <c r="AC16" s="408"/>
      <c r="AD16" s="408"/>
      <c r="AE16" s="407"/>
      <c r="AF16" s="408"/>
      <c r="AG16" s="408"/>
      <c r="AH16" s="408"/>
      <c r="AI16" s="407"/>
      <c r="AJ16" s="408"/>
      <c r="AK16" s="408"/>
      <c r="AL16" s="408"/>
      <c r="AM16" s="407"/>
      <c r="AN16" s="408"/>
      <c r="AO16" s="408"/>
      <c r="AP16" s="408"/>
      <c r="AQ16" s="407"/>
      <c r="AR16" s="408"/>
      <c r="AS16" s="408"/>
      <c r="AT16" s="408"/>
      <c r="AU16" s="407"/>
      <c r="AV16" s="408"/>
      <c r="AW16" s="408"/>
      <c r="AX16" s="540"/>
      <c r="AY16" s="541"/>
      <c r="AZ16" s="408"/>
      <c r="BA16" s="408"/>
      <c r="BB16" s="408"/>
      <c r="BC16" s="407"/>
      <c r="BD16" s="408"/>
      <c r="BE16" s="408"/>
      <c r="BF16" s="408"/>
    </row>
    <row r="17" spans="1:58" s="418" customFormat="1" ht="11.25">
      <c r="A17" s="513" t="s">
        <v>823</v>
      </c>
      <c r="B17" s="513" t="s">
        <v>817</v>
      </c>
      <c r="C17" s="328"/>
      <c r="D17" s="328"/>
      <c r="E17" s="328"/>
      <c r="F17" s="328"/>
      <c r="G17" s="463"/>
      <c r="H17" s="328"/>
      <c r="I17" s="328">
        <f t="shared" ref="I17:AW17" si="54">I9*4/AVERAGE(H5:I5)</f>
        <v>3.2227831034085863E-3</v>
      </c>
      <c r="J17" s="328">
        <f t="shared" si="54"/>
        <v>1.1702630908627779E-2</v>
      </c>
      <c r="K17" s="463">
        <f t="shared" si="54"/>
        <v>6.6745318376472277E-3</v>
      </c>
      <c r="L17" s="328">
        <f t="shared" si="54"/>
        <v>3.2612344731667545E-3</v>
      </c>
      <c r="M17" s="328">
        <f t="shared" si="54"/>
        <v>9.6017947279865394E-3</v>
      </c>
      <c r="N17" s="328">
        <f t="shared" si="54"/>
        <v>9.6268538554916353E-3</v>
      </c>
      <c r="O17" s="463">
        <f t="shared" si="54"/>
        <v>8.4895507445876608E-3</v>
      </c>
      <c r="P17" s="328">
        <f t="shared" si="54"/>
        <v>4.8769507803121245E-3</v>
      </c>
      <c r="Q17" s="328">
        <f t="shared" si="54"/>
        <v>7.5005282062117051E-3</v>
      </c>
      <c r="R17" s="328">
        <f t="shared" si="54"/>
        <v>8.4596288172629312E-3</v>
      </c>
      <c r="S17" s="463">
        <f t="shared" si="54"/>
        <v>1.0564450157765571E-2</v>
      </c>
      <c r="T17" s="328">
        <f t="shared" si="54"/>
        <v>6.3094064470526961E-3</v>
      </c>
      <c r="U17" s="328">
        <f t="shared" si="54"/>
        <v>5.9269921573193059E-3</v>
      </c>
      <c r="V17" s="328">
        <f t="shared" si="54"/>
        <v>3.8173234741704595E-3</v>
      </c>
      <c r="W17" s="463">
        <f t="shared" si="54"/>
        <v>5.0714158362883573E-3</v>
      </c>
      <c r="X17" s="328">
        <f t="shared" si="54"/>
        <v>6.4794608162963589E-3</v>
      </c>
      <c r="Y17" s="328">
        <f t="shared" si="54"/>
        <v>5.3420628437788262E-3</v>
      </c>
      <c r="Z17" s="328">
        <f t="shared" si="54"/>
        <v>5.8677157431177088E-3</v>
      </c>
      <c r="AA17" s="463">
        <f t="shared" si="54"/>
        <v>9.0452300252815317E-3</v>
      </c>
      <c r="AB17" s="328">
        <f t="shared" si="54"/>
        <v>9.3286995473768689E-3</v>
      </c>
      <c r="AC17" s="328">
        <f t="shared" si="54"/>
        <v>7.3413477490026262E-3</v>
      </c>
      <c r="AD17" s="328">
        <f t="shared" si="54"/>
        <v>3.7022451285441465E-3</v>
      </c>
      <c r="AE17" s="463">
        <f t="shared" si="54"/>
        <v>7.8180544867271495E-3</v>
      </c>
      <c r="AF17" s="328">
        <f t="shared" si="54"/>
        <v>2.1776142284491945E-3</v>
      </c>
      <c r="AG17" s="328">
        <f t="shared" si="54"/>
        <v>2.5809983770995054E-3</v>
      </c>
      <c r="AH17" s="328">
        <f t="shared" si="54"/>
        <v>3.3867790010397598E-3</v>
      </c>
      <c r="AI17" s="463">
        <f t="shared" si="54"/>
        <v>5.9804617606532507E-3</v>
      </c>
      <c r="AJ17" s="328">
        <f t="shared" si="54"/>
        <v>3.9426972392766152E-3</v>
      </c>
      <c r="AK17" s="328">
        <f t="shared" si="54"/>
        <v>1.2431888591152242E-3</v>
      </c>
      <c r="AL17" s="328">
        <f t="shared" si="54"/>
        <v>7.0761746353751036E-4</v>
      </c>
      <c r="AM17" s="463">
        <f t="shared" si="54"/>
        <v>2.4200167851773972E-3</v>
      </c>
      <c r="AN17" s="328">
        <f t="shared" si="54"/>
        <v>2.8748765791759856E-3</v>
      </c>
      <c r="AO17" s="328">
        <f t="shared" si="54"/>
        <v>3.3785019536121037E-3</v>
      </c>
      <c r="AP17" s="328">
        <f t="shared" si="54"/>
        <v>9.6556866980380043E-3</v>
      </c>
      <c r="AQ17" s="463">
        <f t="shared" si="54"/>
        <v>5.31455853775137E-3</v>
      </c>
      <c r="AR17" s="328">
        <f t="shared" si="54"/>
        <v>5.2214730097232048E-3</v>
      </c>
      <c r="AS17" s="328">
        <f t="shared" si="54"/>
        <v>4.5410074076609524E-3</v>
      </c>
      <c r="AT17" s="328">
        <f t="shared" si="54"/>
        <v>3.6996465418808995E-3</v>
      </c>
      <c r="AU17" s="463">
        <f t="shared" si="54"/>
        <v>3.8994614843690088E-3</v>
      </c>
      <c r="AV17" s="328">
        <f t="shared" si="54"/>
        <v>1.0183886685775832E-2</v>
      </c>
      <c r="AW17" s="328">
        <f t="shared" si="54"/>
        <v>3.9126044270133909E-3</v>
      </c>
      <c r="AX17" s="359">
        <f>AX9*4/AVERAGE(AW5:AX5)</f>
        <v>7.9637267991779816E-3</v>
      </c>
      <c r="AY17" s="544">
        <v>2.8855126093454172E-3</v>
      </c>
      <c r="AZ17" s="328">
        <f t="shared" ref="AZ17" si="55">AZ9*4/AVERAGE(AY5:AZ5)</f>
        <v>3.0460754162205867E-3</v>
      </c>
      <c r="BA17" s="328">
        <f t="shared" ref="BA17" si="56">BA9*4/AVERAGE(AZ5:BA5)</f>
        <v>5.410696805197116E-3</v>
      </c>
      <c r="BB17" s="328">
        <f>BB9*4/AVERAGE(BA5:BB5)</f>
        <v>6.0155274215194709E-3</v>
      </c>
      <c r="BC17" s="463">
        <f t="shared" ref="BC17:BF17" si="57">BC9*4/AVERAGE(BB5:BC5)</f>
        <v>8.8216900787204938E-3</v>
      </c>
      <c r="BD17" s="328">
        <f t="shared" si="57"/>
        <v>5.4700009464337795E-3</v>
      </c>
      <c r="BE17" s="328">
        <f t="shared" si="57"/>
        <v>6.1973525872442842E-3</v>
      </c>
      <c r="BF17" s="328">
        <f t="shared" si="57"/>
        <v>2.3622140646999194E-2</v>
      </c>
    </row>
    <row r="18" spans="1:58" s="424" customFormat="1" ht="11.25">
      <c r="A18" s="513" t="s">
        <v>823</v>
      </c>
      <c r="B18" s="513" t="s">
        <v>820</v>
      </c>
      <c r="C18" s="328"/>
      <c r="D18" s="328"/>
      <c r="E18" s="328"/>
      <c r="F18" s="328"/>
      <c r="G18" s="463"/>
      <c r="H18" s="328"/>
      <c r="I18" s="328"/>
      <c r="J18" s="328"/>
      <c r="K18" s="463"/>
      <c r="L18" s="328">
        <f t="shared" ref="L18:AX18" si="58">SUM(I9:L9)/AVERAGE(H5:L5)</f>
        <v>6.1695776190963626E-3</v>
      </c>
      <c r="M18" s="328">
        <f t="shared" si="58"/>
        <v>7.7124067505648609E-3</v>
      </c>
      <c r="N18" s="328">
        <f t="shared" si="58"/>
        <v>7.4309261636154814E-3</v>
      </c>
      <c r="O18" s="463">
        <f t="shared" si="58"/>
        <v>7.8737581382160807E-3</v>
      </c>
      <c r="P18" s="328">
        <f t="shared" si="58"/>
        <v>8.0144587378045296E-3</v>
      </c>
      <c r="Q18" s="328">
        <f t="shared" si="58"/>
        <v>7.5453734237107811E-3</v>
      </c>
      <c r="R18" s="328">
        <f t="shared" si="58"/>
        <v>7.3339639396860588E-3</v>
      </c>
      <c r="S18" s="463">
        <f t="shared" si="58"/>
        <v>8.0020337791609289E-3</v>
      </c>
      <c r="T18" s="328">
        <f t="shared" si="58"/>
        <v>8.2001874787960855E-3</v>
      </c>
      <c r="U18" s="328">
        <f t="shared" si="58"/>
        <v>7.7479574951775237E-3</v>
      </c>
      <c r="V18" s="328">
        <f t="shared" si="58"/>
        <v>6.5338834737659491E-3</v>
      </c>
      <c r="W18" s="463">
        <f t="shared" si="58"/>
        <v>5.2643689381314624E-3</v>
      </c>
      <c r="X18" s="328">
        <f t="shared" si="58"/>
        <v>5.3378990834927987E-3</v>
      </c>
      <c r="Y18" s="328">
        <f t="shared" si="58"/>
        <v>5.1930988908839041E-3</v>
      </c>
      <c r="Z18" s="328">
        <f t="shared" si="58"/>
        <v>5.6941202047102579E-3</v>
      </c>
      <c r="AA18" s="463">
        <f t="shared" si="58"/>
        <v>6.7154234403892276E-3</v>
      </c>
      <c r="AB18" s="328">
        <f t="shared" si="58"/>
        <v>7.4317416095254852E-3</v>
      </c>
      <c r="AC18" s="328">
        <f t="shared" si="58"/>
        <v>7.8916694225916757E-3</v>
      </c>
      <c r="AD18" s="328">
        <f t="shared" si="58"/>
        <v>7.291691165789157E-3</v>
      </c>
      <c r="AE18" s="463">
        <f t="shared" si="58"/>
        <v>7.0261726850072469E-3</v>
      </c>
      <c r="AF18" s="328">
        <f t="shared" si="58"/>
        <v>5.2090704265343639E-3</v>
      </c>
      <c r="AG18" s="328">
        <f t="shared" si="58"/>
        <v>4.0067743114932195E-3</v>
      </c>
      <c r="AH18" s="328">
        <f t="shared" si="58"/>
        <v>3.9178437621654781E-3</v>
      </c>
      <c r="AI18" s="463">
        <f t="shared" si="58"/>
        <v>3.6034528494374718E-3</v>
      </c>
      <c r="AJ18" s="328">
        <f t="shared" si="58"/>
        <v>4.0083127350595557E-3</v>
      </c>
      <c r="AK18" s="328">
        <f t="shared" si="58"/>
        <v>3.5815911368932232E-3</v>
      </c>
      <c r="AL18" s="328">
        <f t="shared" si="58"/>
        <v>2.8639210772282166E-3</v>
      </c>
      <c r="AM18" s="463">
        <f t="shared" si="58"/>
        <v>2.0524470731086348E-3</v>
      </c>
      <c r="AN18" s="328">
        <f t="shared" si="58"/>
        <v>1.843679835666173E-3</v>
      </c>
      <c r="AO18" s="328">
        <f t="shared" si="58"/>
        <v>2.3943707272097003E-3</v>
      </c>
      <c r="AP18" s="328">
        <f t="shared" si="58"/>
        <v>4.708900884314463E-3</v>
      </c>
      <c r="AQ18" s="463">
        <f t="shared" si="58"/>
        <v>5.3796687253171984E-3</v>
      </c>
      <c r="AR18" s="328">
        <f t="shared" si="58"/>
        <v>5.887606195612018E-3</v>
      </c>
      <c r="AS18" s="328">
        <f t="shared" si="58"/>
        <v>6.1014309142396195E-3</v>
      </c>
      <c r="AT18" s="328">
        <f t="shared" si="58"/>
        <v>4.6584645142991321E-3</v>
      </c>
      <c r="AU18" s="463">
        <f t="shared" si="58"/>
        <v>4.3094699907971958E-3</v>
      </c>
      <c r="AV18" s="328">
        <f t="shared" si="58"/>
        <v>5.6814148603563852E-3</v>
      </c>
      <c r="AW18" s="328">
        <f t="shared" si="58"/>
        <v>5.4648700275112269E-3</v>
      </c>
      <c r="AX18" s="359">
        <f t="shared" si="58"/>
        <v>6.5282359453825147E-3</v>
      </c>
      <c r="AY18" s="544">
        <v>5.0206281188750444E-3</v>
      </c>
      <c r="AZ18" s="328">
        <v>3.5927004338780384E-3</v>
      </c>
      <c r="BA18" s="328">
        <v>4.4501433457338592E-3</v>
      </c>
      <c r="BB18" s="328">
        <v>4.4102297283198262E-3</v>
      </c>
      <c r="BC18" s="463">
        <f t="shared" ref="BC18:BF18" si="59">SUM(AZ9:BC9)/AVERAGE(AY5:BC5)</f>
        <v>5.9369752563871265E-3</v>
      </c>
      <c r="BD18" s="328">
        <f t="shared" si="59"/>
        <v>6.4556711271866463E-3</v>
      </c>
      <c r="BE18" s="328">
        <f t="shared" si="59"/>
        <v>6.6266000221548394E-3</v>
      </c>
      <c r="BF18" s="328">
        <f t="shared" si="59"/>
        <v>1.1210367917276932E-2</v>
      </c>
    </row>
    <row r="19" spans="1:58" s="424" customFormat="1" ht="11.25">
      <c r="A19" s="513"/>
      <c r="B19" s="513"/>
      <c r="C19" s="328"/>
      <c r="D19" s="328"/>
      <c r="E19" s="328"/>
      <c r="F19" s="328"/>
      <c r="G19" s="463"/>
      <c r="H19" s="328"/>
      <c r="I19" s="328"/>
      <c r="J19" s="328"/>
      <c r="K19" s="463"/>
      <c r="L19" s="328"/>
      <c r="M19" s="328"/>
      <c r="N19" s="328"/>
      <c r="O19" s="463"/>
      <c r="P19" s="328"/>
      <c r="Q19" s="328"/>
      <c r="R19" s="328"/>
      <c r="S19" s="463"/>
      <c r="T19" s="328"/>
      <c r="U19" s="328"/>
      <c r="V19" s="328"/>
      <c r="W19" s="463"/>
      <c r="X19" s="328"/>
      <c r="Y19" s="328"/>
      <c r="Z19" s="328"/>
      <c r="AA19" s="463"/>
      <c r="AB19" s="328"/>
      <c r="AC19" s="328"/>
      <c r="AD19" s="328"/>
      <c r="AE19" s="463"/>
      <c r="AF19" s="328"/>
      <c r="AG19" s="328"/>
      <c r="AH19" s="328"/>
      <c r="AI19" s="463"/>
      <c r="AJ19" s="328"/>
      <c r="AK19" s="328"/>
      <c r="AL19" s="328"/>
      <c r="AM19" s="463"/>
      <c r="AN19" s="328"/>
      <c r="AO19" s="328"/>
      <c r="AP19" s="328"/>
      <c r="AQ19" s="463"/>
      <c r="AR19" s="328"/>
      <c r="AS19" s="328"/>
      <c r="AT19" s="328"/>
      <c r="AU19" s="463"/>
      <c r="AV19" s="328"/>
      <c r="AW19" s="328"/>
      <c r="AX19" s="359"/>
      <c r="AY19" s="544"/>
      <c r="AZ19" s="328"/>
      <c r="BA19" s="328"/>
      <c r="BB19" s="328"/>
      <c r="BC19" s="463"/>
      <c r="BD19" s="328"/>
      <c r="BE19" s="328"/>
      <c r="BF19" s="328"/>
    </row>
    <row r="20" spans="1:58" s="418" customFormat="1" ht="11.25">
      <c r="A20" s="412" t="s">
        <v>824</v>
      </c>
      <c r="B20" s="412" t="s">
        <v>818</v>
      </c>
      <c r="C20" s="328"/>
      <c r="D20" s="328"/>
      <c r="E20" s="328"/>
      <c r="F20" s="328"/>
      <c r="G20" s="463"/>
      <c r="H20" s="328"/>
      <c r="I20" s="328">
        <f t="shared" ref="I20:AX20" si="60">I10*4/AVERAGE(H6:I6)</f>
        <v>6.1835021474227565E-4</v>
      </c>
      <c r="J20" s="328">
        <f t="shared" si="60"/>
        <v>2.3610668887310487E-2</v>
      </c>
      <c r="K20" s="463">
        <f t="shared" si="60"/>
        <v>1.8258288835021664E-2</v>
      </c>
      <c r="L20" s="328">
        <f t="shared" si="60"/>
        <v>1.5442057711809716E-2</v>
      </c>
      <c r="M20" s="328">
        <f t="shared" si="60"/>
        <v>7.6758986757901109E-3</v>
      </c>
      <c r="N20" s="328">
        <f t="shared" si="60"/>
        <v>1.4356670641766333E-2</v>
      </c>
      <c r="O20" s="463">
        <f t="shared" si="60"/>
        <v>6.1555535850664886E-3</v>
      </c>
      <c r="P20" s="328">
        <f t="shared" si="60"/>
        <v>5.9467741020257613E-3</v>
      </c>
      <c r="Q20" s="328">
        <f t="shared" si="60"/>
        <v>7.3192254180674422E-3</v>
      </c>
      <c r="R20" s="328">
        <f t="shared" si="60"/>
        <v>7.3711727100965402E-3</v>
      </c>
      <c r="S20" s="463">
        <f t="shared" si="60"/>
        <v>4.6992100465869961E-3</v>
      </c>
      <c r="T20" s="328">
        <f t="shared" si="60"/>
        <v>3.2303140501530733E-3</v>
      </c>
      <c r="U20" s="328">
        <f t="shared" si="60"/>
        <v>1.1262664728011263E-3</v>
      </c>
      <c r="V20" s="328">
        <f t="shared" si="60"/>
        <v>6.2174661263392529E-3</v>
      </c>
      <c r="W20" s="463">
        <f t="shared" si="60"/>
        <v>6.646452216650763E-3</v>
      </c>
      <c r="X20" s="328">
        <f t="shared" si="60"/>
        <v>1.4156975482388924E-2</v>
      </c>
      <c r="Y20" s="328">
        <f t="shared" si="60"/>
        <v>8.0853259934629291E-3</v>
      </c>
      <c r="Z20" s="328">
        <f t="shared" si="60"/>
        <v>8.0317553036136254E-3</v>
      </c>
      <c r="AA20" s="463">
        <f t="shared" si="60"/>
        <v>2.6876478138487159E-3</v>
      </c>
      <c r="AB20" s="328">
        <f t="shared" si="60"/>
        <v>3.8141476870633901E-3</v>
      </c>
      <c r="AC20" s="328">
        <f t="shared" si="60"/>
        <v>3.9644848707744568E-3</v>
      </c>
      <c r="AD20" s="328">
        <f t="shared" si="60"/>
        <v>7.5433639573135704E-3</v>
      </c>
      <c r="AE20" s="463">
        <f t="shared" si="60"/>
        <v>5.8541646082402926E-3</v>
      </c>
      <c r="AF20" s="328">
        <f t="shared" si="60"/>
        <v>2.6509555702182073E-3</v>
      </c>
      <c r="AG20" s="328">
        <f t="shared" si="60"/>
        <v>5.7829583446281736E-3</v>
      </c>
      <c r="AH20" s="328">
        <f t="shared" si="60"/>
        <v>7.2805826642688264E-3</v>
      </c>
      <c r="AI20" s="463">
        <f t="shared" si="60"/>
        <v>5.396762209840541E-3</v>
      </c>
      <c r="AJ20" s="328">
        <f t="shared" si="60"/>
        <v>4.1017475258500798E-3</v>
      </c>
      <c r="AK20" s="328">
        <f t="shared" si="60"/>
        <v>2.283107715276656E-3</v>
      </c>
      <c r="AL20" s="328">
        <f t="shared" si="60"/>
        <v>4.3082908188163916E-3</v>
      </c>
      <c r="AM20" s="463">
        <f t="shared" si="60"/>
        <v>5.6344757796424139E-3</v>
      </c>
      <c r="AN20" s="328">
        <f t="shared" si="60"/>
        <v>1.1291819120813711E-3</v>
      </c>
      <c r="AO20" s="328">
        <f t="shared" si="60"/>
        <v>2.0779420677447592E-3</v>
      </c>
      <c r="AP20" s="328">
        <f t="shared" si="60"/>
        <v>5.3325595234340346E-3</v>
      </c>
      <c r="AQ20" s="463">
        <f t="shared" si="60"/>
        <v>2.76682405037102E-3</v>
      </c>
      <c r="AR20" s="328">
        <f t="shared" si="60"/>
        <v>6.3566497329686075E-3</v>
      </c>
      <c r="AS20" s="328">
        <f t="shared" si="60"/>
        <v>5.4057269113349628E-3</v>
      </c>
      <c r="AT20" s="328">
        <f t="shared" si="60"/>
        <v>6.0751500695226434E-3</v>
      </c>
      <c r="AU20" s="463">
        <f t="shared" si="60"/>
        <v>4.4299656639005145E-3</v>
      </c>
      <c r="AV20" s="328">
        <f t="shared" si="60"/>
        <v>5.3071143790572517E-3</v>
      </c>
      <c r="AW20" s="328">
        <f t="shared" si="60"/>
        <v>6.6427589784416527E-3</v>
      </c>
      <c r="AX20" s="359">
        <f t="shared" si="60"/>
        <v>6.9130895029056582E-4</v>
      </c>
      <c r="AY20" s="544">
        <v>5.8339384952309685E-3</v>
      </c>
      <c r="AZ20" s="328">
        <f t="shared" ref="AZ20" si="61">AZ10*4/AVERAGE(AY6:AZ6)</f>
        <v>6.1595410398019423E-3</v>
      </c>
      <c r="BA20" s="328">
        <f t="shared" ref="BA20" si="62">BA10*4/AVERAGE(AZ6:BA6)</f>
        <v>6.9423902259983508E-3</v>
      </c>
      <c r="BB20" s="328">
        <f t="shared" ref="BB20" si="63">BB10*4/AVERAGE(BA6:BB6)</f>
        <v>5.3342023566540307E-3</v>
      </c>
      <c r="BC20" s="463">
        <f t="shared" ref="BC20:BF20" si="64">BC10*4/AVERAGE(BB6:BC6)</f>
        <v>1.0372045321693717E-2</v>
      </c>
      <c r="BD20" s="328">
        <f t="shared" si="64"/>
        <v>1.3632080528581664E-2</v>
      </c>
      <c r="BE20" s="328">
        <f t="shared" si="64"/>
        <v>3.6244332321344326E-3</v>
      </c>
      <c r="BF20" s="328">
        <f t="shared" si="64"/>
        <v>-6.27939004288538E-5</v>
      </c>
    </row>
    <row r="21" spans="1:58" s="424" customFormat="1" ht="11.25">
      <c r="A21" s="412" t="s">
        <v>824</v>
      </c>
      <c r="B21" s="412" t="s">
        <v>821</v>
      </c>
      <c r="C21" s="328"/>
      <c r="D21" s="328"/>
      <c r="E21" s="328"/>
      <c r="F21" s="328"/>
      <c r="G21" s="463"/>
      <c r="H21" s="328"/>
      <c r="I21" s="328"/>
      <c r="J21" s="328"/>
      <c r="K21" s="463"/>
      <c r="L21" s="328">
        <f t="shared" ref="L21:AX21" si="65">SUM(I10:L10)/AVERAGE(H6:L6)</f>
        <v>1.5012747946641527E-2</v>
      </c>
      <c r="M21" s="328">
        <f t="shared" si="65"/>
        <v>1.6307428834380563E-2</v>
      </c>
      <c r="N21" s="328">
        <f t="shared" si="65"/>
        <v>1.394687204005755E-2</v>
      </c>
      <c r="O21" s="463">
        <f t="shared" si="65"/>
        <v>1.0887322561464881E-2</v>
      </c>
      <c r="P21" s="328">
        <f t="shared" si="65"/>
        <v>8.5009657051027636E-3</v>
      </c>
      <c r="Q21" s="328">
        <f t="shared" si="65"/>
        <v>8.3794889918613717E-3</v>
      </c>
      <c r="R21" s="328">
        <f t="shared" si="65"/>
        <v>6.6948963575391637E-3</v>
      </c>
      <c r="S21" s="463">
        <f t="shared" si="65"/>
        <v>6.3329264197109674E-3</v>
      </c>
      <c r="T21" s="328">
        <f t="shared" si="65"/>
        <v>5.6011795848042211E-3</v>
      </c>
      <c r="U21" s="328">
        <f t="shared" si="65"/>
        <v>3.9949547745598921E-3</v>
      </c>
      <c r="V21" s="328">
        <f t="shared" si="65"/>
        <v>3.831017633866569E-3</v>
      </c>
      <c r="W21" s="463">
        <f t="shared" si="65"/>
        <v>4.4288034742920937E-3</v>
      </c>
      <c r="X21" s="328">
        <f t="shared" si="65"/>
        <v>7.5810973795091092E-3</v>
      </c>
      <c r="Y21" s="328">
        <f t="shared" si="65"/>
        <v>9.0651582865611032E-3</v>
      </c>
      <c r="Z21" s="328">
        <f t="shared" si="65"/>
        <v>9.4282999741387308E-3</v>
      </c>
      <c r="AA21" s="463">
        <f t="shared" si="65"/>
        <v>8.2610738276198484E-3</v>
      </c>
      <c r="AB21" s="328">
        <f t="shared" si="65"/>
        <v>5.6586188010167137E-3</v>
      </c>
      <c r="AC21" s="328">
        <f t="shared" si="65"/>
        <v>4.6043325281640785E-3</v>
      </c>
      <c r="AD21" s="328">
        <f t="shared" si="65"/>
        <v>4.5349678193899023E-3</v>
      </c>
      <c r="AE21" s="463">
        <f t="shared" si="65"/>
        <v>5.3110924042297607E-3</v>
      </c>
      <c r="AF21" s="328">
        <f t="shared" si="65"/>
        <v>4.9464196951544198E-3</v>
      </c>
      <c r="AG21" s="328">
        <f t="shared" si="65"/>
        <v>5.3945013780112025E-3</v>
      </c>
      <c r="AH21" s="328">
        <f t="shared" si="65"/>
        <v>5.4469684306390539E-3</v>
      </c>
      <c r="AI21" s="463">
        <f t="shared" si="65"/>
        <v>5.3333614669770248E-3</v>
      </c>
      <c r="AJ21" s="328">
        <f t="shared" si="65"/>
        <v>5.5848725181740951E-3</v>
      </c>
      <c r="AK21" s="328">
        <f t="shared" si="65"/>
        <v>4.6413719111198914E-3</v>
      </c>
      <c r="AL21" s="328">
        <f t="shared" si="65"/>
        <v>3.9926238549804231E-3</v>
      </c>
      <c r="AM21" s="463">
        <f t="shared" si="65"/>
        <v>4.1183339342682713E-3</v>
      </c>
      <c r="AN21" s="328">
        <f t="shared" si="65"/>
        <v>3.3328222247600713E-3</v>
      </c>
      <c r="AO21" s="328">
        <f t="shared" si="65"/>
        <v>3.2464081350647516E-3</v>
      </c>
      <c r="AP21" s="328">
        <f t="shared" si="65"/>
        <v>3.5440989340323895E-3</v>
      </c>
      <c r="AQ21" s="463">
        <f t="shared" si="65"/>
        <v>2.8450141445114543E-3</v>
      </c>
      <c r="AR21" s="328">
        <f t="shared" si="65"/>
        <v>4.1590231313007337E-3</v>
      </c>
      <c r="AS21" s="328">
        <f t="shared" si="65"/>
        <v>4.971347951849176E-3</v>
      </c>
      <c r="AT21" s="328">
        <f t="shared" si="65"/>
        <v>5.1921720593081765E-3</v>
      </c>
      <c r="AU21" s="463">
        <f t="shared" si="65"/>
        <v>5.5721148349040725E-3</v>
      </c>
      <c r="AV21" s="328">
        <f t="shared" si="65"/>
        <v>5.2975587035603748E-3</v>
      </c>
      <c r="AW21" s="328">
        <f t="shared" si="65"/>
        <v>5.5998139646532847E-3</v>
      </c>
      <c r="AX21" s="359">
        <f t="shared" si="65"/>
        <v>4.2047883742265301E-3</v>
      </c>
      <c r="AY21" s="544">
        <v>5.4875255314515816E-3</v>
      </c>
      <c r="AZ21" s="328">
        <v>5.4598904088549501E-3</v>
      </c>
      <c r="BA21" s="328">
        <v>5.3363630623987444E-3</v>
      </c>
      <c r="BB21" s="328">
        <v>6.0799147896768687E-3</v>
      </c>
      <c r="BC21" s="463">
        <f t="shared" ref="BC21:BF21" si="66">SUM(AZ10:BC10)/AVERAGE(AY6:BC6)</f>
        <v>7.2189255059870727E-3</v>
      </c>
      <c r="BD21" s="328">
        <f t="shared" si="66"/>
        <v>9.1543001304935107E-3</v>
      </c>
      <c r="BE21" s="328">
        <f t="shared" si="66"/>
        <v>8.2885142234031817E-3</v>
      </c>
      <c r="BF21" s="328">
        <f t="shared" si="66"/>
        <v>6.9434792828235699E-3</v>
      </c>
    </row>
    <row r="22" spans="1:58" s="418" customFormat="1" ht="11.25">
      <c r="A22" s="412"/>
      <c r="B22" s="412"/>
      <c r="C22" s="328"/>
      <c r="D22" s="328"/>
      <c r="E22" s="328"/>
      <c r="F22" s="328"/>
      <c r="G22" s="463"/>
      <c r="H22" s="328"/>
      <c r="I22" s="328"/>
      <c r="J22" s="328"/>
      <c r="K22" s="463"/>
      <c r="L22" s="328"/>
      <c r="M22" s="328"/>
      <c r="N22" s="328"/>
      <c r="O22" s="463"/>
      <c r="P22" s="328"/>
      <c r="Q22" s="328"/>
      <c r="R22" s="328"/>
      <c r="S22" s="463"/>
      <c r="T22" s="328"/>
      <c r="U22" s="328"/>
      <c r="V22" s="328"/>
      <c r="W22" s="463"/>
      <c r="X22" s="328"/>
      <c r="Y22" s="328"/>
      <c r="Z22" s="328"/>
      <c r="AA22" s="463"/>
      <c r="AB22" s="328"/>
      <c r="AC22" s="328"/>
      <c r="AD22" s="328"/>
      <c r="AE22" s="463"/>
      <c r="AF22" s="328"/>
      <c r="AG22" s="328"/>
      <c r="AH22" s="328"/>
      <c r="AI22" s="463"/>
      <c r="AJ22" s="328"/>
      <c r="AK22" s="328"/>
      <c r="AL22" s="328"/>
      <c r="AM22" s="463"/>
      <c r="AN22" s="328"/>
      <c r="AO22" s="328"/>
      <c r="AP22" s="328"/>
      <c r="AQ22" s="463"/>
      <c r="AR22" s="328"/>
      <c r="AS22" s="328"/>
      <c r="AT22" s="328"/>
      <c r="AU22" s="463"/>
      <c r="AV22" s="328"/>
      <c r="AW22" s="328"/>
      <c r="AX22" s="359"/>
      <c r="AY22" s="544"/>
      <c r="AZ22" s="328"/>
      <c r="BA22" s="328"/>
      <c r="BB22" s="328"/>
      <c r="BC22" s="463"/>
      <c r="BD22" s="328"/>
      <c r="BE22" s="328"/>
      <c r="BF22" s="328"/>
    </row>
    <row r="23" spans="1:58" s="424" customFormat="1" ht="11.25">
      <c r="A23" s="525" t="s">
        <v>825</v>
      </c>
      <c r="B23" s="525" t="s">
        <v>819</v>
      </c>
      <c r="C23" s="406"/>
      <c r="D23" s="406"/>
      <c r="E23" s="406"/>
      <c r="F23" s="406"/>
      <c r="G23" s="545"/>
      <c r="H23" s="406"/>
      <c r="I23" s="327">
        <f t="shared" ref="I23:AW23" si="67">I11*4/AVERAGE(H7:I7)</f>
        <v>1.3740458015267176E-3</v>
      </c>
      <c r="J23" s="327">
        <f t="shared" si="67"/>
        <v>2.0084605322420408E-2</v>
      </c>
      <c r="K23" s="545">
        <f t="shared" si="67"/>
        <v>1.4697721011770599E-2</v>
      </c>
      <c r="L23" s="327">
        <f t="shared" si="67"/>
        <v>1.1488348199691776E-2</v>
      </c>
      <c r="M23" s="327">
        <f t="shared" si="67"/>
        <v>8.3373947952926856E-3</v>
      </c>
      <c r="N23" s="327">
        <f t="shared" si="67"/>
        <v>1.2681464200660244E-2</v>
      </c>
      <c r="O23" s="545">
        <f t="shared" si="67"/>
        <v>7.0042848457710343E-3</v>
      </c>
      <c r="P23" s="327">
        <f t="shared" si="67"/>
        <v>5.5434959378336526E-3</v>
      </c>
      <c r="Q23" s="327">
        <f t="shared" si="67"/>
        <v>7.3882625850203304E-3</v>
      </c>
      <c r="R23" s="327">
        <f t="shared" si="67"/>
        <v>7.7904595511893351E-3</v>
      </c>
      <c r="S23" s="545">
        <f t="shared" si="67"/>
        <v>7.0096828149216629E-3</v>
      </c>
      <c r="T23" s="327">
        <f t="shared" si="67"/>
        <v>4.4520942261533974E-3</v>
      </c>
      <c r="U23" s="327">
        <f t="shared" si="67"/>
        <v>3.024810984193689E-3</v>
      </c>
      <c r="V23" s="327">
        <f t="shared" si="67"/>
        <v>5.2889757584247236E-3</v>
      </c>
      <c r="W23" s="545">
        <f t="shared" si="67"/>
        <v>6.0823913351936805E-3</v>
      </c>
      <c r="X23" s="327">
        <f t="shared" si="67"/>
        <v>1.1532355090178928E-2</v>
      </c>
      <c r="Y23" s="327">
        <f t="shared" si="67"/>
        <v>7.1320255794500957E-3</v>
      </c>
      <c r="Z23" s="327">
        <f t="shared" si="67"/>
        <v>7.2661061241822153E-3</v>
      </c>
      <c r="AA23" s="545">
        <f t="shared" si="67"/>
        <v>4.9795879820219704E-3</v>
      </c>
      <c r="AB23" s="327">
        <f t="shared" si="67"/>
        <v>5.8307869347337914E-3</v>
      </c>
      <c r="AC23" s="327">
        <f t="shared" si="67"/>
        <v>5.2052477395578417E-3</v>
      </c>
      <c r="AD23" s="327">
        <f t="shared" si="67"/>
        <v>6.1275148676448758E-3</v>
      </c>
      <c r="AE23" s="545">
        <f t="shared" si="67"/>
        <v>6.5749033749151016E-3</v>
      </c>
      <c r="AF23" s="327">
        <f t="shared" si="67"/>
        <v>2.4794011464438184E-3</v>
      </c>
      <c r="AG23" s="327">
        <f t="shared" si="67"/>
        <v>4.6220687834016691E-3</v>
      </c>
      <c r="AH23" s="327">
        <f t="shared" si="67"/>
        <v>5.843711615235195E-3</v>
      </c>
      <c r="AI23" s="545">
        <f t="shared" si="67"/>
        <v>5.6165551794899122E-3</v>
      </c>
      <c r="AJ23" s="327">
        <f t="shared" si="67"/>
        <v>4.041902522888924E-3</v>
      </c>
      <c r="AK23" s="327">
        <f t="shared" si="67"/>
        <v>1.8964339633543766E-3</v>
      </c>
      <c r="AL23" s="327">
        <f t="shared" si="67"/>
        <v>2.9620384576119355E-3</v>
      </c>
      <c r="AM23" s="545">
        <f t="shared" si="67"/>
        <v>4.4154094431841321E-3</v>
      </c>
      <c r="AN23" s="327">
        <f t="shared" si="67"/>
        <v>1.802070767588009E-3</v>
      </c>
      <c r="AO23" s="327">
        <f t="shared" si="67"/>
        <v>2.5868726622341968E-3</v>
      </c>
      <c r="AP23" s="327">
        <f t="shared" si="67"/>
        <v>7.0422445692726781E-3</v>
      </c>
      <c r="AQ23" s="545">
        <f t="shared" si="67"/>
        <v>3.7826955295247682E-3</v>
      </c>
      <c r="AR23" s="327">
        <f t="shared" si="67"/>
        <v>5.9002387535685716E-3</v>
      </c>
      <c r="AS23" s="327">
        <f t="shared" si="67"/>
        <v>5.0545969439610367E-3</v>
      </c>
      <c r="AT23" s="327">
        <f t="shared" si="67"/>
        <v>5.0910028054771232E-3</v>
      </c>
      <c r="AU23" s="545">
        <f t="shared" si="67"/>
        <v>4.2037394657082616E-3</v>
      </c>
      <c r="AV23" s="327">
        <f t="shared" si="67"/>
        <v>7.4203220492391978E-3</v>
      </c>
      <c r="AW23" s="327">
        <f t="shared" si="67"/>
        <v>5.4569230635997459E-3</v>
      </c>
      <c r="AX23" s="360">
        <f>AX11*4/AVERAGE(AW7:AX7)</f>
        <v>3.8509355623147839E-3</v>
      </c>
      <c r="AY23" s="546">
        <v>4.7066464908420425E-3</v>
      </c>
      <c r="AZ23" s="327">
        <f t="shared" ref="AZ23" si="68">AZ11*4/AVERAGE(AY7:AZ7)</f>
        <v>4.9526532363757623E-3</v>
      </c>
      <c r="BA23" s="327">
        <f t="shared" ref="BA23" si="69">BA11*4/AVERAGE(AZ7:BA7)</f>
        <v>6.3371072002391358E-3</v>
      </c>
      <c r="BB23" s="327">
        <f>BB11*4/AVERAGE(BA7:BB7)</f>
        <v>5.6089473628095909E-3</v>
      </c>
      <c r="BC23" s="545">
        <f t="shared" ref="BC23:BF23" si="70">BC11*4/AVERAGE(BB7:BC7)</f>
        <v>9.736266767762616E-3</v>
      </c>
      <c r="BD23" s="327">
        <f t="shared" si="70"/>
        <v>1.0187103238171636E-2</v>
      </c>
      <c r="BE23" s="327">
        <f t="shared" si="70"/>
        <v>4.7405522351842456E-3</v>
      </c>
      <c r="BF23" s="327">
        <f t="shared" si="70"/>
        <v>1.0331029406994907E-2</v>
      </c>
    </row>
    <row r="24" spans="1:58" s="424" customFormat="1" ht="12" customHeight="1">
      <c r="A24" s="525" t="s">
        <v>825</v>
      </c>
      <c r="B24" s="525" t="s">
        <v>822</v>
      </c>
      <c r="C24" s="327"/>
      <c r="D24" s="327"/>
      <c r="E24" s="327"/>
      <c r="F24" s="327"/>
      <c r="G24" s="545"/>
      <c r="H24" s="327"/>
      <c r="I24" s="327"/>
      <c r="J24" s="327"/>
      <c r="K24" s="545"/>
      <c r="L24" s="327">
        <f t="shared" ref="L24:AX24" si="71">SUM(I11:L11)/AVERAGE(H7:L7)</f>
        <v>1.2294956517007172E-2</v>
      </c>
      <c r="M24" s="327">
        <f t="shared" si="71"/>
        <v>1.3560194595449488E-2</v>
      </c>
      <c r="N24" s="327">
        <f t="shared" si="71"/>
        <v>1.1781590065688942E-2</v>
      </c>
      <c r="O24" s="545">
        <f t="shared" si="71"/>
        <v>9.8442583966843553E-3</v>
      </c>
      <c r="P24" s="327">
        <f t="shared" si="71"/>
        <v>8.3257939870247169E-3</v>
      </c>
      <c r="Q24" s="327">
        <f t="shared" si="71"/>
        <v>8.0719655520343336E-3</v>
      </c>
      <c r="R24" s="327">
        <f t="shared" si="71"/>
        <v>6.9356301306119483E-3</v>
      </c>
      <c r="S24" s="545">
        <f t="shared" si="71"/>
        <v>6.9748093245917478E-3</v>
      </c>
      <c r="T24" s="327">
        <f t="shared" si="71"/>
        <v>6.6140757306971431E-3</v>
      </c>
      <c r="U24" s="327">
        <f t="shared" si="71"/>
        <v>5.4653877679189198E-3</v>
      </c>
      <c r="V24" s="327">
        <f t="shared" si="71"/>
        <v>4.8891989540971155E-3</v>
      </c>
      <c r="W24" s="545">
        <f t="shared" si="71"/>
        <v>4.7454323892142354E-3</v>
      </c>
      <c r="X24" s="327">
        <f t="shared" si="71"/>
        <v>6.7547680351811865E-3</v>
      </c>
      <c r="Y24" s="327">
        <f t="shared" si="71"/>
        <v>7.6724181005558426E-3</v>
      </c>
      <c r="Z24" s="327">
        <f t="shared" si="71"/>
        <v>8.1078242291644786E-3</v>
      </c>
      <c r="AA24" s="545">
        <f t="shared" si="71"/>
        <v>7.7184951164550961E-3</v>
      </c>
      <c r="AB24" s="327">
        <f t="shared" si="71"/>
        <v>6.2914156369032557E-3</v>
      </c>
      <c r="AC24" s="327">
        <f t="shared" si="71"/>
        <v>5.7920374726954313E-3</v>
      </c>
      <c r="AD24" s="327">
        <f t="shared" si="71"/>
        <v>5.5420990036251809E-3</v>
      </c>
      <c r="AE24" s="545">
        <f t="shared" si="71"/>
        <v>5.9396492751521762E-3</v>
      </c>
      <c r="AF24" s="327">
        <f t="shared" si="71"/>
        <v>5.0425177261632839E-3</v>
      </c>
      <c r="AG24" s="327">
        <f t="shared" si="71"/>
        <v>4.8878456452314811E-3</v>
      </c>
      <c r="AH24" s="327">
        <f t="shared" si="71"/>
        <v>4.886304438852563E-3</v>
      </c>
      <c r="AI24" s="545">
        <f t="shared" si="71"/>
        <v>4.6955565207240741E-3</v>
      </c>
      <c r="AJ24" s="327">
        <f t="shared" si="71"/>
        <v>5.0005487387040134E-3</v>
      </c>
      <c r="AK24" s="327">
        <f t="shared" si="71"/>
        <v>4.2469245361309868E-3</v>
      </c>
      <c r="AL24" s="327">
        <f t="shared" si="71"/>
        <v>3.5695533859697644E-3</v>
      </c>
      <c r="AM24" s="545">
        <f t="shared" si="71"/>
        <v>3.3410244196904397E-3</v>
      </c>
      <c r="AN24" s="327">
        <f t="shared" si="71"/>
        <v>2.7688662404393551E-3</v>
      </c>
      <c r="AO24" s="327">
        <f t="shared" si="71"/>
        <v>2.9204305720953957E-3</v>
      </c>
      <c r="AP24" s="327">
        <f t="shared" si="71"/>
        <v>3.9962680227566593E-3</v>
      </c>
      <c r="AQ24" s="545">
        <f t="shared" si="71"/>
        <v>3.8396739690456073E-3</v>
      </c>
      <c r="AR24" s="327">
        <f t="shared" si="71"/>
        <v>4.8455776760974413E-3</v>
      </c>
      <c r="AS24" s="327">
        <f t="shared" si="71"/>
        <v>5.4241185109842344E-3</v>
      </c>
      <c r="AT24" s="327">
        <f t="shared" si="71"/>
        <v>4.9752419110976722E-3</v>
      </c>
      <c r="AU24" s="545">
        <f t="shared" si="71"/>
        <v>5.0503739183801674E-3</v>
      </c>
      <c r="AV24" s="327">
        <f t="shared" si="71"/>
        <v>5.4589480867623073E-3</v>
      </c>
      <c r="AW24" s="327">
        <f t="shared" si="71"/>
        <v>5.5423078255879858E-3</v>
      </c>
      <c r="AX24" s="360">
        <f t="shared" si="71"/>
        <v>5.2075243684902052E-3</v>
      </c>
      <c r="AY24" s="546">
        <v>5.3095791566176893E-3</v>
      </c>
      <c r="AZ24" s="327">
        <v>4.7428441989621701E-3</v>
      </c>
      <c r="BA24" s="327">
        <v>4.9930619017532702E-3</v>
      </c>
      <c r="BB24" s="327">
        <v>5.4234112226545419E-3</v>
      </c>
      <c r="BC24" s="545">
        <f t="shared" ref="BC24:BF24" si="72">SUM(AZ11:BC11)/AVERAGE(AY7:BC7)</f>
        <v>6.7073862928435169E-3</v>
      </c>
      <c r="BD24" s="327">
        <f t="shared" si="72"/>
        <v>8.0503501737376713E-3</v>
      </c>
      <c r="BE24" s="327">
        <f t="shared" si="72"/>
        <v>7.594997110454851E-3</v>
      </c>
      <c r="BF24" s="327">
        <f t="shared" si="72"/>
        <v>8.7626779213287737E-3</v>
      </c>
    </row>
    <row r="25" spans="1:58">
      <c r="A25" s="13"/>
      <c r="B25" s="13"/>
      <c r="C25" s="64"/>
      <c r="D25" s="64"/>
      <c r="E25" s="64"/>
      <c r="F25" s="64"/>
      <c r="G25" s="64"/>
      <c r="H25" s="64"/>
      <c r="I25" s="64"/>
      <c r="J25" s="64"/>
      <c r="K25" s="64"/>
      <c r="L25" s="64"/>
      <c r="M25" s="64"/>
      <c r="N25" s="64"/>
      <c r="O25" s="64"/>
      <c r="P25" s="64"/>
      <c r="Q25" s="64"/>
      <c r="R25" s="64"/>
      <c r="S25" s="64"/>
      <c r="T25" s="64"/>
      <c r="U25" s="64"/>
      <c r="V25" s="64"/>
      <c r="W25" s="64"/>
      <c r="X25" s="64"/>
      <c r="Y25" s="64"/>
      <c r="Z25" s="64"/>
      <c r="AA25" s="64"/>
      <c r="AB25" s="64"/>
      <c r="AC25" s="64"/>
      <c r="AD25" s="64"/>
      <c r="AE25" s="64"/>
      <c r="AF25" s="64"/>
      <c r="AG25" s="64"/>
      <c r="AJ25" s="64"/>
      <c r="AX25" s="63"/>
      <c r="BB25" s="63"/>
      <c r="BF25" s="63"/>
    </row>
    <row r="26" spans="1:58">
      <c r="A26" s="13"/>
      <c r="B26" s="13"/>
    </row>
    <row r="27" spans="1:58">
      <c r="A27" s="13"/>
      <c r="B27" s="13"/>
    </row>
    <row r="28" spans="1:58">
      <c r="A28" s="13"/>
      <c r="B28" s="13"/>
    </row>
    <row r="29" spans="1:58" s="63" customFormat="1">
      <c r="A29" s="13"/>
      <c r="B29" s="13"/>
      <c r="AX29" s="13"/>
      <c r="BB29" s="13"/>
      <c r="BF29" s="13"/>
    </row>
    <row r="30" spans="1:58" s="63" customFormat="1">
      <c r="A30" s="13"/>
      <c r="B30" s="13"/>
      <c r="AX30" s="13"/>
      <c r="BB30" s="13"/>
      <c r="BF30" s="13"/>
    </row>
    <row r="31" spans="1:58" s="63" customFormat="1">
      <c r="A31" s="13"/>
      <c r="B31" s="13"/>
      <c r="AX31" s="13"/>
      <c r="BB31" s="13"/>
      <c r="BF31" s="13"/>
    </row>
    <row r="32" spans="1:58" s="63" customFormat="1">
      <c r="A32" s="13"/>
      <c r="B32" s="13"/>
      <c r="AX32" s="13"/>
      <c r="BB32" s="13"/>
      <c r="BF32" s="13"/>
    </row>
    <row r="33" spans="1:58" s="63" customFormat="1">
      <c r="A33" s="13"/>
      <c r="B33" s="13"/>
      <c r="AX33" s="13"/>
      <c r="BB33" s="13"/>
      <c r="BF33" s="13"/>
    </row>
    <row r="34" spans="1:58" s="63" customFormat="1">
      <c r="A34" s="13"/>
      <c r="B34" s="13"/>
      <c r="AX34" s="13"/>
      <c r="BB34" s="13"/>
      <c r="BF34" s="13"/>
    </row>
    <row r="35" spans="1:58" s="63" customFormat="1">
      <c r="A35" s="13"/>
      <c r="B35" s="13"/>
      <c r="AX35" s="13"/>
      <c r="BB35" s="13"/>
      <c r="BF35" s="13"/>
    </row>
    <row r="36" spans="1:58" s="63" customFormat="1">
      <c r="A36" s="13"/>
      <c r="B36" s="13"/>
      <c r="AX36" s="13"/>
      <c r="BB36" s="13"/>
      <c r="BF36" s="13"/>
    </row>
    <row r="37" spans="1:58" s="63" customFormat="1">
      <c r="A37" s="13"/>
      <c r="B37" s="13"/>
      <c r="AX37" s="13"/>
      <c r="BB37" s="13"/>
      <c r="BF37" s="13"/>
    </row>
    <row r="38" spans="1:58" s="63" customFormat="1">
      <c r="A38" s="13"/>
      <c r="B38" s="13"/>
      <c r="AX38" s="13"/>
      <c r="BB38" s="13"/>
      <c r="BF38" s="13"/>
    </row>
    <row r="39" spans="1:58" s="63" customFormat="1">
      <c r="A39" s="13"/>
      <c r="B39" s="13"/>
      <c r="AX39" s="13"/>
      <c r="BB39" s="13"/>
      <c r="BF39" s="13"/>
    </row>
    <row r="40" spans="1:58" s="63" customFormat="1">
      <c r="A40" s="13"/>
      <c r="B40" s="13"/>
      <c r="AX40" s="13"/>
      <c r="BB40" s="13"/>
      <c r="BF40" s="13"/>
    </row>
    <row r="41" spans="1:58" s="63" customFormat="1">
      <c r="A41" s="13"/>
      <c r="B41" s="13"/>
      <c r="AX41" s="13"/>
      <c r="BB41" s="13"/>
      <c r="BF41" s="13"/>
    </row>
    <row r="42" spans="1:58" s="63" customFormat="1">
      <c r="A42" s="13"/>
      <c r="B42" s="13"/>
      <c r="AX42" s="13"/>
      <c r="BB42" s="13"/>
      <c r="BF42" s="13"/>
    </row>
    <row r="43" spans="1:58" s="63" customFormat="1">
      <c r="A43" s="13"/>
      <c r="B43" s="13"/>
      <c r="AX43" s="13"/>
      <c r="BB43" s="13"/>
      <c r="BF43" s="13"/>
    </row>
    <row r="44" spans="1:58" s="63" customFormat="1">
      <c r="A44" s="13"/>
      <c r="B44" s="13"/>
      <c r="AX44" s="13"/>
      <c r="BB44" s="13"/>
      <c r="BF44" s="13"/>
    </row>
    <row r="45" spans="1:58" s="63" customFormat="1">
      <c r="A45" s="13"/>
      <c r="B45" s="13"/>
      <c r="AX45" s="13"/>
      <c r="BB45" s="13"/>
      <c r="BF45" s="13"/>
    </row>
    <row r="46" spans="1:58" s="63" customFormat="1">
      <c r="A46" s="13"/>
      <c r="B46" s="13"/>
      <c r="AX46" s="13"/>
      <c r="BB46" s="13"/>
      <c r="BF46" s="13"/>
    </row>
    <row r="47" spans="1:58" s="63" customFormat="1">
      <c r="A47" s="13"/>
      <c r="B47" s="13"/>
      <c r="AX47" s="13"/>
      <c r="BB47" s="13"/>
      <c r="BF47" s="13"/>
    </row>
    <row r="48" spans="1:58" s="63" customFormat="1">
      <c r="A48" s="13"/>
      <c r="B48" s="13"/>
      <c r="AX48" s="13"/>
      <c r="BB48" s="13"/>
      <c r="BF48" s="13"/>
    </row>
    <row r="49" spans="1:58" s="63" customFormat="1">
      <c r="A49" s="13"/>
      <c r="B49" s="13"/>
      <c r="AX49" s="13"/>
      <c r="BB49" s="13"/>
      <c r="BF49" s="13"/>
    </row>
    <row r="50" spans="1:58" s="63" customFormat="1">
      <c r="A50" s="13"/>
      <c r="B50" s="13"/>
      <c r="AX50" s="13"/>
      <c r="BB50" s="13"/>
      <c r="BF50" s="13"/>
    </row>
    <row r="51" spans="1:58" s="63" customFormat="1">
      <c r="A51" s="13"/>
      <c r="B51" s="13"/>
      <c r="AX51" s="13"/>
      <c r="BB51" s="13"/>
      <c r="BF51" s="13"/>
    </row>
    <row r="52" spans="1:58" s="63" customFormat="1">
      <c r="A52" s="13"/>
      <c r="B52" s="13"/>
      <c r="AX52" s="13"/>
      <c r="BB52" s="13"/>
      <c r="BF52" s="13"/>
    </row>
    <row r="53" spans="1:58" s="63" customFormat="1">
      <c r="A53" s="13"/>
      <c r="B53" s="13"/>
      <c r="AX53" s="13"/>
      <c r="BB53" s="13"/>
      <c r="BF53" s="13"/>
    </row>
  </sheetData>
  <mergeCells count="16">
    <mergeCell ref="BC2:BF2"/>
    <mergeCell ref="O2:R2"/>
    <mergeCell ref="A2:A3"/>
    <mergeCell ref="B2:B3"/>
    <mergeCell ref="C2:F2"/>
    <mergeCell ref="G2:J2"/>
    <mergeCell ref="K2:N2"/>
    <mergeCell ref="AY2:BB2"/>
    <mergeCell ref="AQ2:AT2"/>
    <mergeCell ref="AU2:AX2"/>
    <mergeCell ref="S2:V2"/>
    <mergeCell ref="W2:Z2"/>
    <mergeCell ref="AA2:AD2"/>
    <mergeCell ref="AE2:AH2"/>
    <mergeCell ref="AI2:AL2"/>
    <mergeCell ref="AM2:AP2"/>
  </mergeCells>
  <printOptions horizontalCentered="1"/>
  <pageMargins left="0.23622047244094491" right="0.23622047244094491" top="0.74803149606299213" bottom="0.74803149606299213" header="0.31496062992125984" footer="0.31496062992125984"/>
  <pageSetup paperSize="9" scale="27" fitToHeight="0" orientation="landscape" r:id="rId1"/>
  <headerFooter alignWithMargins="0">
    <oddHeader xml:space="preserve">&amp;C&amp;"Times New Roman,Kursywa"&amp;12
</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F48"/>
  <sheetViews>
    <sheetView showGridLines="0" view="pageBreakPreview" zoomScaleNormal="100" zoomScaleSheetLayoutView="100" zoomScalePageLayoutView="80" workbookViewId="0">
      <pane xSplit="2" ySplit="5" topLeftCell="AO6" activePane="bottomRight" state="frozen"/>
      <selection pane="topRight" activeCell="C1" sqref="C1"/>
      <selection pane="bottomLeft" activeCell="A6" sqref="A6"/>
      <selection pane="bottomRight" activeCell="BC2" sqref="BC2:BF2"/>
    </sheetView>
  </sheetViews>
  <sheetFormatPr defaultColWidth="8.85546875" defaultRowHeight="13.5" outlineLevelCol="1"/>
  <cols>
    <col min="1" max="1" width="56.7109375" style="52" customWidth="1" outlineLevel="1"/>
    <col min="2" max="2" width="64.5703125" style="52" customWidth="1"/>
    <col min="3" max="43" width="7.85546875" style="179" customWidth="1"/>
    <col min="44" max="44" width="7.85546875" style="13" customWidth="1"/>
    <col min="45" max="47" width="7.85546875" style="179" customWidth="1"/>
    <col min="48" max="48" width="7.85546875" style="13" customWidth="1"/>
    <col min="49" max="51" width="7.85546875" style="179" customWidth="1"/>
    <col min="52" max="52" width="7.85546875" style="13" customWidth="1"/>
    <col min="53" max="55" width="7.85546875" style="179" customWidth="1"/>
    <col min="56" max="56" width="7.85546875" style="13" customWidth="1"/>
    <col min="57" max="58" width="7.85546875" style="179" customWidth="1"/>
    <col min="59" max="16384" width="8.85546875" style="13"/>
  </cols>
  <sheetData>
    <row r="1" spans="1:58" ht="12.75" customHeight="1">
      <c r="A1" s="18" t="s">
        <v>538</v>
      </c>
      <c r="B1" s="18" t="s">
        <v>537</v>
      </c>
    </row>
    <row r="2" spans="1:58">
      <c r="A2" s="639" t="s">
        <v>175</v>
      </c>
      <c r="B2" s="639" t="s">
        <v>33</v>
      </c>
      <c r="C2" s="636">
        <v>2007</v>
      </c>
      <c r="D2" s="641"/>
      <c r="E2" s="641"/>
      <c r="F2" s="641"/>
      <c r="G2" s="636">
        <v>2008</v>
      </c>
      <c r="H2" s="641"/>
      <c r="I2" s="641"/>
      <c r="J2" s="641"/>
      <c r="K2" s="636">
        <v>2009</v>
      </c>
      <c r="L2" s="641"/>
      <c r="M2" s="641"/>
      <c r="N2" s="641"/>
      <c r="O2" s="636">
        <v>2010</v>
      </c>
      <c r="P2" s="641"/>
      <c r="Q2" s="641"/>
      <c r="R2" s="641"/>
      <c r="S2" s="636">
        <v>2011</v>
      </c>
      <c r="T2" s="641"/>
      <c r="U2" s="641"/>
      <c r="V2" s="641"/>
      <c r="W2" s="636">
        <v>2012</v>
      </c>
      <c r="X2" s="641"/>
      <c r="Y2" s="641"/>
      <c r="Z2" s="642"/>
      <c r="AA2" s="645">
        <v>2013</v>
      </c>
      <c r="AB2" s="641"/>
      <c r="AC2" s="641"/>
      <c r="AD2" s="642"/>
      <c r="AE2" s="645">
        <v>2014</v>
      </c>
      <c r="AF2" s="641"/>
      <c r="AG2" s="641"/>
      <c r="AH2" s="642"/>
      <c r="AI2" s="645">
        <v>2015</v>
      </c>
      <c r="AJ2" s="641"/>
      <c r="AK2" s="641"/>
      <c r="AL2" s="642"/>
      <c r="AM2" s="645">
        <v>2016</v>
      </c>
      <c r="AN2" s="641"/>
      <c r="AO2" s="641"/>
      <c r="AP2" s="641"/>
      <c r="AQ2" s="645">
        <v>2017</v>
      </c>
      <c r="AR2" s="641"/>
      <c r="AS2" s="641"/>
      <c r="AT2" s="641"/>
      <c r="AU2" s="645">
        <v>2018</v>
      </c>
      <c r="AV2" s="641"/>
      <c r="AW2" s="641"/>
      <c r="AX2" s="638"/>
      <c r="AY2" s="645">
        <v>2019</v>
      </c>
      <c r="AZ2" s="641"/>
      <c r="BA2" s="641"/>
      <c r="BB2" s="638"/>
      <c r="BC2" s="645">
        <v>2020</v>
      </c>
      <c r="BD2" s="641"/>
      <c r="BE2" s="641"/>
      <c r="BF2" s="638"/>
    </row>
    <row r="3" spans="1:58" s="14" customFormat="1" ht="36" customHeight="1">
      <c r="A3" s="640"/>
      <c r="B3" s="640"/>
      <c r="C3" s="20" t="s">
        <v>149</v>
      </c>
      <c r="D3" s="21" t="s">
        <v>150</v>
      </c>
      <c r="E3" s="21" t="s">
        <v>151</v>
      </c>
      <c r="F3" s="21" t="s">
        <v>152</v>
      </c>
      <c r="G3" s="20" t="s">
        <v>149</v>
      </c>
      <c r="H3" s="21" t="s">
        <v>150</v>
      </c>
      <c r="I3" s="21" t="s">
        <v>151</v>
      </c>
      <c r="J3" s="21" t="s">
        <v>152</v>
      </c>
      <c r="K3" s="20" t="s">
        <v>149</v>
      </c>
      <c r="L3" s="21" t="s">
        <v>150</v>
      </c>
      <c r="M3" s="21" t="s">
        <v>151</v>
      </c>
      <c r="N3" s="21" t="s">
        <v>152</v>
      </c>
      <c r="O3" s="20" t="s">
        <v>149</v>
      </c>
      <c r="P3" s="21" t="s">
        <v>150</v>
      </c>
      <c r="Q3" s="21" t="s">
        <v>151</v>
      </c>
      <c r="R3" s="21" t="s">
        <v>152</v>
      </c>
      <c r="S3" s="20" t="s">
        <v>149</v>
      </c>
      <c r="T3" s="21" t="s">
        <v>150</v>
      </c>
      <c r="U3" s="21" t="s">
        <v>151</v>
      </c>
      <c r="V3" s="21" t="s">
        <v>152</v>
      </c>
      <c r="W3" s="20" t="s">
        <v>149</v>
      </c>
      <c r="X3" s="21" t="s">
        <v>150</v>
      </c>
      <c r="Y3" s="21" t="s">
        <v>151</v>
      </c>
      <c r="Z3" s="43" t="s">
        <v>152</v>
      </c>
      <c r="AA3" s="180" t="s">
        <v>149</v>
      </c>
      <c r="AB3" s="181" t="s">
        <v>150</v>
      </c>
      <c r="AC3" s="181" t="s">
        <v>151</v>
      </c>
      <c r="AD3" s="182" t="s">
        <v>152</v>
      </c>
      <c r="AE3" s="180" t="s">
        <v>149</v>
      </c>
      <c r="AF3" s="181" t="s">
        <v>150</v>
      </c>
      <c r="AG3" s="181" t="s">
        <v>151</v>
      </c>
      <c r="AH3" s="182" t="s">
        <v>152</v>
      </c>
      <c r="AI3" s="181" t="s">
        <v>149</v>
      </c>
      <c r="AJ3" s="181" t="s">
        <v>150</v>
      </c>
      <c r="AK3" s="181" t="s">
        <v>151</v>
      </c>
      <c r="AL3" s="182" t="s">
        <v>152</v>
      </c>
      <c r="AM3" s="181" t="s">
        <v>149</v>
      </c>
      <c r="AN3" s="181" t="s">
        <v>150</v>
      </c>
      <c r="AO3" s="181" t="s">
        <v>151</v>
      </c>
      <c r="AP3" s="182" t="s">
        <v>152</v>
      </c>
      <c r="AQ3" s="181" t="s">
        <v>149</v>
      </c>
      <c r="AR3" s="181" t="s">
        <v>150</v>
      </c>
      <c r="AS3" s="181" t="s">
        <v>151</v>
      </c>
      <c r="AT3" s="181" t="s">
        <v>152</v>
      </c>
      <c r="AU3" s="180" t="s">
        <v>149</v>
      </c>
      <c r="AV3" s="181" t="s">
        <v>150</v>
      </c>
      <c r="AW3" s="181" t="s">
        <v>151</v>
      </c>
      <c r="AX3" s="181" t="s">
        <v>152</v>
      </c>
      <c r="AY3" s="180" t="s">
        <v>149</v>
      </c>
      <c r="AZ3" s="181" t="s">
        <v>150</v>
      </c>
      <c r="BA3" s="181" t="s">
        <v>151</v>
      </c>
      <c r="BB3" s="181" t="s">
        <v>152</v>
      </c>
      <c r="BC3" s="180" t="s">
        <v>149</v>
      </c>
      <c r="BD3" s="181" t="s">
        <v>150</v>
      </c>
      <c r="BE3" s="181" t="s">
        <v>151</v>
      </c>
      <c r="BF3" s="181" t="s">
        <v>152</v>
      </c>
    </row>
    <row r="4" spans="1:58" s="172" customFormat="1" ht="11.25" customHeight="1">
      <c r="A4" s="22" t="s">
        <v>154</v>
      </c>
      <c r="B4" s="22" t="s">
        <v>11</v>
      </c>
      <c r="C4" s="108"/>
      <c r="D4" s="55"/>
      <c r="E4" s="55"/>
      <c r="F4" s="55"/>
      <c r="G4" s="108"/>
      <c r="H4" s="55"/>
      <c r="I4" s="55"/>
      <c r="J4" s="177"/>
      <c r="K4" s="108"/>
      <c r="L4" s="55"/>
      <c r="M4" s="55"/>
      <c r="N4" s="177"/>
      <c r="O4" s="108"/>
      <c r="P4" s="55"/>
      <c r="Q4" s="55"/>
      <c r="R4" s="177"/>
      <c r="S4" s="108"/>
      <c r="T4" s="55"/>
      <c r="U4" s="55"/>
      <c r="V4" s="177"/>
      <c r="W4" s="55"/>
      <c r="X4" s="55"/>
      <c r="Y4" s="55"/>
      <c r="Z4" s="177"/>
      <c r="AA4" s="108"/>
      <c r="AB4" s="55"/>
      <c r="AC4" s="55"/>
      <c r="AD4" s="177"/>
      <c r="AE4" s="108"/>
      <c r="AF4" s="55"/>
      <c r="AG4" s="55"/>
      <c r="AH4" s="177"/>
      <c r="AI4" s="55"/>
      <c r="AJ4" s="55"/>
      <c r="AK4" s="55"/>
      <c r="AL4" s="177"/>
      <c r="AM4" s="55"/>
      <c r="AN4" s="55"/>
      <c r="AO4" s="55"/>
      <c r="AP4" s="177"/>
      <c r="AQ4" s="55"/>
      <c r="AR4" s="55"/>
      <c r="AS4" s="55"/>
      <c r="AT4" s="55"/>
      <c r="AU4" s="111"/>
      <c r="AV4" s="55"/>
      <c r="AW4" s="55"/>
      <c r="AX4" s="55"/>
      <c r="AY4" s="111"/>
      <c r="AZ4" s="55"/>
      <c r="BA4" s="55"/>
      <c r="BB4" s="55"/>
      <c r="BC4" s="111"/>
      <c r="BD4" s="55"/>
      <c r="BE4" s="55"/>
      <c r="BF4" s="55"/>
    </row>
    <row r="5" spans="1:58" s="428" customFormat="1" ht="11.25">
      <c r="A5" s="421" t="s">
        <v>189</v>
      </c>
      <c r="B5" s="421" t="s">
        <v>12</v>
      </c>
      <c r="C5" s="414"/>
      <c r="D5" s="547"/>
      <c r="E5" s="415"/>
      <c r="F5" s="547"/>
      <c r="G5" s="414"/>
      <c r="H5" s="547"/>
      <c r="I5" s="415"/>
      <c r="J5" s="548"/>
      <c r="K5" s="414"/>
      <c r="L5" s="547"/>
      <c r="M5" s="415"/>
      <c r="N5" s="548"/>
      <c r="O5" s="414"/>
      <c r="P5" s="547"/>
      <c r="Q5" s="415"/>
      <c r="R5" s="548"/>
      <c r="S5" s="414"/>
      <c r="T5" s="547"/>
      <c r="U5" s="415"/>
      <c r="V5" s="548"/>
      <c r="W5" s="415"/>
      <c r="X5" s="415"/>
      <c r="Y5" s="415"/>
      <c r="Z5" s="416"/>
      <c r="AA5" s="414"/>
      <c r="AB5" s="415"/>
      <c r="AC5" s="415"/>
      <c r="AD5" s="416"/>
      <c r="AE5" s="414"/>
      <c r="AF5" s="415"/>
      <c r="AG5" s="415"/>
      <c r="AH5" s="416"/>
      <c r="AI5" s="415"/>
      <c r="AJ5" s="415"/>
      <c r="AK5" s="415"/>
      <c r="AL5" s="416"/>
      <c r="AM5" s="415"/>
      <c r="AN5" s="415"/>
      <c r="AO5" s="415"/>
      <c r="AP5" s="416"/>
      <c r="AQ5" s="415"/>
      <c r="AR5" s="415"/>
      <c r="AS5" s="415"/>
      <c r="AT5" s="415"/>
      <c r="AU5" s="549"/>
      <c r="AV5" s="415"/>
      <c r="AW5" s="415"/>
      <c r="AX5" s="415"/>
      <c r="AY5" s="549"/>
      <c r="AZ5" s="415"/>
      <c r="BA5" s="415"/>
      <c r="BB5" s="415"/>
      <c r="BC5" s="549"/>
      <c r="BD5" s="415"/>
      <c r="BE5" s="415"/>
      <c r="BF5" s="415"/>
    </row>
    <row r="6" spans="1:58" s="428" customFormat="1" ht="11.25">
      <c r="A6" s="508" t="s">
        <v>176</v>
      </c>
      <c r="B6" s="508" t="s">
        <v>13</v>
      </c>
      <c r="C6" s="425">
        <v>1807.6</v>
      </c>
      <c r="D6" s="337">
        <v>2608.9</v>
      </c>
      <c r="E6" s="337">
        <v>1593</v>
      </c>
      <c r="F6" s="337">
        <v>1841.7</v>
      </c>
      <c r="G6" s="425">
        <v>1661.3</v>
      </c>
      <c r="H6" s="337">
        <v>1622.9</v>
      </c>
      <c r="I6" s="337">
        <v>2151.3000000000002</v>
      </c>
      <c r="J6" s="338">
        <v>1369.8</v>
      </c>
      <c r="K6" s="425">
        <v>1584.3</v>
      </c>
      <c r="L6" s="337">
        <v>903.3</v>
      </c>
      <c r="M6" s="337">
        <v>1686</v>
      </c>
      <c r="N6" s="338">
        <v>2656.6</v>
      </c>
      <c r="O6" s="425">
        <v>2387.8000000000002</v>
      </c>
      <c r="P6" s="337">
        <v>2158.5</v>
      </c>
      <c r="Q6" s="337">
        <v>1265.0999999999999</v>
      </c>
      <c r="R6" s="338">
        <v>2394.1999999999998</v>
      </c>
      <c r="S6" s="425">
        <v>1401.5</v>
      </c>
      <c r="T6" s="337">
        <v>1566.6</v>
      </c>
      <c r="U6" s="337">
        <v>4064.9</v>
      </c>
      <c r="V6" s="338">
        <v>1493.1</v>
      </c>
      <c r="W6" s="337">
        <v>1558.1</v>
      </c>
      <c r="X6" s="337">
        <v>2321.1999999999998</v>
      </c>
      <c r="Y6" s="337">
        <v>2126</v>
      </c>
      <c r="Z6" s="338">
        <v>4071.6</v>
      </c>
      <c r="AA6" s="425">
        <v>3534.4</v>
      </c>
      <c r="AB6" s="337">
        <v>1673.5</v>
      </c>
      <c r="AC6" s="337">
        <v>4577.6000000000004</v>
      </c>
      <c r="AD6" s="338">
        <v>6970.1</v>
      </c>
      <c r="AE6" s="425">
        <v>7304.2</v>
      </c>
      <c r="AF6" s="337">
        <v>7857.1</v>
      </c>
      <c r="AG6" s="337">
        <v>3008</v>
      </c>
      <c r="AH6" s="338">
        <v>5330.7</v>
      </c>
      <c r="AI6" s="337">
        <v>2392.5</v>
      </c>
      <c r="AJ6" s="337">
        <v>2864.7</v>
      </c>
      <c r="AK6" s="337">
        <v>3940.7</v>
      </c>
      <c r="AL6" s="338">
        <v>3589.7</v>
      </c>
      <c r="AM6" s="337">
        <v>3565.7</v>
      </c>
      <c r="AN6" s="337">
        <v>1286.5999999999999</v>
      </c>
      <c r="AO6" s="337">
        <v>1299.0999999999999</v>
      </c>
      <c r="AP6" s="338">
        <v>1825</v>
      </c>
      <c r="AQ6" s="337">
        <v>1250</v>
      </c>
      <c r="AR6" s="337">
        <v>1351.9</v>
      </c>
      <c r="AS6" s="337">
        <v>1638.2</v>
      </c>
      <c r="AT6" s="337">
        <v>2815.2</v>
      </c>
      <c r="AU6" s="407">
        <v>2042.4</v>
      </c>
      <c r="AV6" s="337">
        <v>1781.5</v>
      </c>
      <c r="AW6" s="337">
        <v>1529.8</v>
      </c>
      <c r="AX6" s="337">
        <v>1237.3999999999999</v>
      </c>
      <c r="AY6" s="407">
        <v>1760.3000000000002</v>
      </c>
      <c r="AZ6" s="337">
        <v>2293.5</v>
      </c>
      <c r="BA6" s="337">
        <v>2792.5</v>
      </c>
      <c r="BB6" s="337">
        <v>1402.9</v>
      </c>
      <c r="BC6" s="407">
        <v>1740.5</v>
      </c>
      <c r="BD6" s="337">
        <v>1910.3000000000002</v>
      </c>
      <c r="BE6" s="337">
        <v>1193.6000000000001</v>
      </c>
      <c r="BF6" s="337">
        <v>867.3</v>
      </c>
    </row>
    <row r="7" spans="1:58" s="428" customFormat="1" ht="11.25">
      <c r="A7" s="508" t="s">
        <v>177</v>
      </c>
      <c r="B7" s="508" t="s">
        <v>14</v>
      </c>
      <c r="C7" s="425">
        <v>16614.2</v>
      </c>
      <c r="D7" s="337">
        <v>18078.900000000001</v>
      </c>
      <c r="E7" s="337">
        <v>17532.8</v>
      </c>
      <c r="F7" s="337">
        <v>15183.7</v>
      </c>
      <c r="G7" s="425">
        <v>14080.6</v>
      </c>
      <c r="H7" s="337">
        <v>9002</v>
      </c>
      <c r="I7" s="337">
        <v>7244.5</v>
      </c>
      <c r="J7" s="338">
        <v>7787.2</v>
      </c>
      <c r="K7" s="425">
        <v>2947.5</v>
      </c>
      <c r="L7" s="337">
        <v>3233.7</v>
      </c>
      <c r="M7" s="337">
        <v>3639.9</v>
      </c>
      <c r="N7" s="338">
        <v>1184.0999999999999</v>
      </c>
      <c r="O7" s="425">
        <v>1280.7</v>
      </c>
      <c r="P7" s="337">
        <v>1940.1</v>
      </c>
      <c r="Q7" s="337">
        <v>1859.2</v>
      </c>
      <c r="R7" s="338">
        <v>1181.0999999999999</v>
      </c>
      <c r="S7" s="425">
        <v>2386.8000000000002</v>
      </c>
      <c r="T7" s="337">
        <v>1758.3</v>
      </c>
      <c r="U7" s="337">
        <v>2706.4</v>
      </c>
      <c r="V7" s="338">
        <v>1018.1</v>
      </c>
      <c r="W7" s="337">
        <v>1478.4</v>
      </c>
      <c r="X7" s="337">
        <v>1605.3000000000002</v>
      </c>
      <c r="Y7" s="337">
        <v>3415.4999999999995</v>
      </c>
      <c r="Z7" s="338">
        <v>1377.0999999999997</v>
      </c>
      <c r="AA7" s="425">
        <v>1600.2999999999995</v>
      </c>
      <c r="AB7" s="337">
        <v>2043.8000000000002</v>
      </c>
      <c r="AC7" s="337">
        <v>2501.6999999999998</v>
      </c>
      <c r="AD7" s="338">
        <v>1399.8000000000002</v>
      </c>
      <c r="AE7" s="425">
        <v>2050.9</v>
      </c>
      <c r="AF7" s="337">
        <v>2576.1000000000004</v>
      </c>
      <c r="AG7" s="337">
        <v>2512.6000000000008</v>
      </c>
      <c r="AH7" s="338">
        <v>1838.3000000000002</v>
      </c>
      <c r="AI7" s="337">
        <v>2111.2999999999997</v>
      </c>
      <c r="AJ7" s="337">
        <v>2315.4</v>
      </c>
      <c r="AK7" s="337">
        <v>3325.7</v>
      </c>
      <c r="AL7" s="338">
        <v>1014.6</v>
      </c>
      <c r="AM7" s="337">
        <v>954.3</v>
      </c>
      <c r="AN7" s="337">
        <v>1285.4000000000001</v>
      </c>
      <c r="AO7" s="337">
        <v>1192.7</v>
      </c>
      <c r="AP7" s="338">
        <v>1113.4000000000001</v>
      </c>
      <c r="AQ7" s="337">
        <v>1125.7</v>
      </c>
      <c r="AR7" s="337">
        <v>1050.2</v>
      </c>
      <c r="AS7" s="337">
        <v>1174.7</v>
      </c>
      <c r="AT7" s="337">
        <v>2234.5</v>
      </c>
      <c r="AU7" s="407">
        <v>2017.4</v>
      </c>
      <c r="AV7" s="337">
        <v>951.8</v>
      </c>
      <c r="AW7" s="337">
        <v>621.79999999999995</v>
      </c>
      <c r="AX7" s="337">
        <v>776.5</v>
      </c>
      <c r="AY7" s="407">
        <v>987.9</v>
      </c>
      <c r="AZ7" s="337">
        <v>694.3</v>
      </c>
      <c r="BA7" s="337">
        <v>804.7</v>
      </c>
      <c r="BB7" s="337">
        <v>798.5</v>
      </c>
      <c r="BC7" s="407">
        <v>1082.3</v>
      </c>
      <c r="BD7" s="337">
        <v>744.4</v>
      </c>
      <c r="BE7" s="337">
        <v>731.3</v>
      </c>
      <c r="BF7" s="337">
        <v>704.6</v>
      </c>
    </row>
    <row r="8" spans="1:58" s="428" customFormat="1" ht="22.5">
      <c r="A8" s="516" t="s">
        <v>910</v>
      </c>
      <c r="B8" s="508" t="s">
        <v>909</v>
      </c>
      <c r="C8" s="425">
        <v>11114.9</v>
      </c>
      <c r="D8" s="337">
        <v>6998</v>
      </c>
      <c r="E8" s="337">
        <v>8243.9</v>
      </c>
      <c r="F8" s="337">
        <v>7907.5</v>
      </c>
      <c r="G8" s="425">
        <v>11238.7</v>
      </c>
      <c r="H8" s="337">
        <v>11160.1</v>
      </c>
      <c r="I8" s="337">
        <v>12817.9</v>
      </c>
      <c r="J8" s="338">
        <v>15128.599999999999</v>
      </c>
      <c r="K8" s="425">
        <v>17144.8</v>
      </c>
      <c r="L8" s="337">
        <v>14064.1</v>
      </c>
      <c r="M8" s="337">
        <v>14131</v>
      </c>
      <c r="N8" s="338">
        <v>9834.4000000000015</v>
      </c>
      <c r="O8" s="425">
        <v>5166.7</v>
      </c>
      <c r="P8" s="337">
        <v>3207.2</v>
      </c>
      <c r="Q8" s="337">
        <v>5473.6</v>
      </c>
      <c r="R8" s="338">
        <v>1818.5</v>
      </c>
      <c r="S8" s="425">
        <v>1456</v>
      </c>
      <c r="T8" s="337">
        <v>1485.1</v>
      </c>
      <c r="U8" s="337">
        <v>2902.5</v>
      </c>
      <c r="V8" s="338">
        <v>2498</v>
      </c>
      <c r="W8" s="337">
        <v>2719.6000000000004</v>
      </c>
      <c r="X8" s="337">
        <v>2026.6000000000001</v>
      </c>
      <c r="Y8" s="337">
        <v>3047.3</v>
      </c>
      <c r="Z8" s="338">
        <v>3376.7</v>
      </c>
      <c r="AA8" s="425">
        <v>2984.2</v>
      </c>
      <c r="AB8" s="337">
        <v>3576.7</v>
      </c>
      <c r="AC8" s="337">
        <v>2933.1000000000004</v>
      </c>
      <c r="AD8" s="338">
        <v>3422.8</v>
      </c>
      <c r="AE8" s="425">
        <v>4052.7</v>
      </c>
      <c r="AF8" s="337">
        <v>4371.0999999999995</v>
      </c>
      <c r="AG8" s="337">
        <v>3453.8999999999996</v>
      </c>
      <c r="AH8" s="338">
        <v>4269.1000000000004</v>
      </c>
      <c r="AI8" s="337">
        <v>5253.7000000000007</v>
      </c>
      <c r="AJ8" s="337">
        <v>3705.3999999999996</v>
      </c>
      <c r="AK8" s="337">
        <v>4716.4000000000005</v>
      </c>
      <c r="AL8" s="338">
        <v>3118</v>
      </c>
      <c r="AM8" s="337">
        <v>3681.5</v>
      </c>
      <c r="AN8" s="337">
        <v>3167.8</v>
      </c>
      <c r="AO8" s="337">
        <v>2742.2</v>
      </c>
      <c r="AP8" s="338">
        <v>3943.8999999999996</v>
      </c>
      <c r="AQ8" s="337">
        <v>2715.7999999999997</v>
      </c>
      <c r="AR8" s="337">
        <v>3706.3</v>
      </c>
      <c r="AS8" s="337">
        <v>2243.7000000000003</v>
      </c>
      <c r="AT8" s="337">
        <v>1503.6999999999998</v>
      </c>
      <c r="AU8" s="407">
        <v>1764.7</v>
      </c>
      <c r="AV8" s="337">
        <v>2566.9</v>
      </c>
      <c r="AW8" s="337">
        <v>1794.6</v>
      </c>
      <c r="AX8" s="337">
        <v>2153.4</v>
      </c>
      <c r="AY8" s="407">
        <v>2440.5</v>
      </c>
      <c r="AZ8" s="337">
        <v>2990.4999999999991</v>
      </c>
      <c r="BA8" s="337">
        <v>1421.7</v>
      </c>
      <c r="BB8" s="337">
        <v>1384.6</v>
      </c>
      <c r="BC8" s="407">
        <v>1511.6999999999998</v>
      </c>
      <c r="BD8" s="337">
        <v>1111.5</v>
      </c>
      <c r="BE8" s="337">
        <v>1259.2</v>
      </c>
      <c r="BF8" s="337">
        <v>2017.6999999999998</v>
      </c>
    </row>
    <row r="9" spans="1:58" s="424" customFormat="1" ht="11.25">
      <c r="A9" s="412" t="s">
        <v>179</v>
      </c>
      <c r="B9" s="412" t="s">
        <v>15</v>
      </c>
      <c r="C9" s="425">
        <v>2</v>
      </c>
      <c r="D9" s="337">
        <v>3.8</v>
      </c>
      <c r="E9" s="337">
        <v>4</v>
      </c>
      <c r="F9" s="337">
        <v>4.5999999999999996</v>
      </c>
      <c r="G9" s="425">
        <v>3.6</v>
      </c>
      <c r="H9" s="337">
        <v>76</v>
      </c>
      <c r="I9" s="337">
        <v>70.400000000000006</v>
      </c>
      <c r="J9" s="338">
        <v>197</v>
      </c>
      <c r="K9" s="425">
        <v>212.4</v>
      </c>
      <c r="L9" s="337">
        <v>91</v>
      </c>
      <c r="M9" s="337">
        <v>64.599999999999994</v>
      </c>
      <c r="N9" s="338">
        <v>90.4</v>
      </c>
      <c r="O9" s="425">
        <v>111.7</v>
      </c>
      <c r="P9" s="337">
        <v>88.1</v>
      </c>
      <c r="Q9" s="337">
        <v>86.1</v>
      </c>
      <c r="R9" s="338">
        <v>104.8</v>
      </c>
      <c r="S9" s="425">
        <v>112.3</v>
      </c>
      <c r="T9" s="337">
        <v>168</v>
      </c>
      <c r="U9" s="337">
        <v>337.1</v>
      </c>
      <c r="V9" s="338">
        <v>433.4</v>
      </c>
      <c r="W9" s="337">
        <v>349.2</v>
      </c>
      <c r="X9" s="337">
        <v>420</v>
      </c>
      <c r="Y9" s="337">
        <v>675.3</v>
      </c>
      <c r="Z9" s="338">
        <v>1112.5999999999999</v>
      </c>
      <c r="AA9" s="425">
        <v>1066.9000000000001</v>
      </c>
      <c r="AB9" s="337">
        <v>990.7</v>
      </c>
      <c r="AC9" s="337">
        <v>994.1</v>
      </c>
      <c r="AD9" s="338">
        <v>1051.9000000000001</v>
      </c>
      <c r="AE9" s="425">
        <v>1011.1</v>
      </c>
      <c r="AF9" s="337">
        <v>1653</v>
      </c>
      <c r="AG9" s="337">
        <v>2370.9</v>
      </c>
      <c r="AH9" s="338">
        <v>2983.8</v>
      </c>
      <c r="AI9" s="337">
        <v>3039.3</v>
      </c>
      <c r="AJ9" s="337">
        <v>2036.6</v>
      </c>
      <c r="AK9" s="337">
        <v>2521.2000000000003</v>
      </c>
      <c r="AL9" s="338">
        <v>2454.8000000000002</v>
      </c>
      <c r="AM9" s="337">
        <v>2737.1</v>
      </c>
      <c r="AN9" s="337">
        <v>2389.6</v>
      </c>
      <c r="AO9" s="337">
        <v>2138.9</v>
      </c>
      <c r="AP9" s="338">
        <v>1338.6</v>
      </c>
      <c r="AQ9" s="337">
        <v>1259.0999999999999</v>
      </c>
      <c r="AR9" s="337">
        <v>1148.5999999999999</v>
      </c>
      <c r="AS9" s="337">
        <v>1050.0999999999999</v>
      </c>
      <c r="AT9" s="337">
        <v>967.2</v>
      </c>
      <c r="AU9" s="407">
        <v>960.6</v>
      </c>
      <c r="AV9" s="337">
        <v>880.2</v>
      </c>
      <c r="AW9" s="337">
        <v>836.5</v>
      </c>
      <c r="AX9" s="337">
        <v>909.6</v>
      </c>
      <c r="AY9" s="407">
        <v>929.3</v>
      </c>
      <c r="AZ9" s="337">
        <v>869</v>
      </c>
      <c r="BA9" s="337">
        <v>883.6</v>
      </c>
      <c r="BB9" s="337">
        <v>851.6</v>
      </c>
      <c r="BC9" s="407">
        <v>1075.8</v>
      </c>
      <c r="BD9" s="337">
        <v>1095.9000000000001</v>
      </c>
      <c r="BE9" s="337">
        <v>1054.0999999999999</v>
      </c>
      <c r="BF9" s="337">
        <v>1194.8</v>
      </c>
    </row>
    <row r="10" spans="1:58" s="428" customFormat="1" ht="11.25">
      <c r="A10" s="508" t="s">
        <v>178</v>
      </c>
      <c r="B10" s="508" t="s">
        <v>575</v>
      </c>
      <c r="C10" s="425">
        <v>12001.7</v>
      </c>
      <c r="D10" s="337">
        <v>9593.7999999999993</v>
      </c>
      <c r="E10" s="337">
        <v>9149.9000000000015</v>
      </c>
      <c r="F10" s="337">
        <v>9388.2999999999993</v>
      </c>
      <c r="G10" s="425">
        <v>13933.400000000001</v>
      </c>
      <c r="H10" s="337">
        <v>17001.2</v>
      </c>
      <c r="I10" s="337">
        <v>19710.7</v>
      </c>
      <c r="J10" s="338">
        <v>18050.900000000001</v>
      </c>
      <c r="K10" s="425">
        <v>15901.9</v>
      </c>
      <c r="L10" s="337">
        <v>15568.2</v>
      </c>
      <c r="M10" s="337">
        <v>14334.5</v>
      </c>
      <c r="N10" s="338">
        <v>14166.3</v>
      </c>
      <c r="O10" s="425">
        <v>21639.699999999997</v>
      </c>
      <c r="P10" s="337">
        <v>21008.7</v>
      </c>
      <c r="Q10" s="337">
        <v>18736.400000000001</v>
      </c>
      <c r="R10" s="338">
        <v>23006.799999999999</v>
      </c>
      <c r="S10" s="425">
        <v>23574.1</v>
      </c>
      <c r="T10" s="337">
        <v>23947.5</v>
      </c>
      <c r="U10" s="337">
        <v>22396.3</v>
      </c>
      <c r="V10" s="338">
        <v>20450.7</v>
      </c>
      <c r="W10" s="337">
        <v>16819.8</v>
      </c>
      <c r="X10" s="337">
        <v>13817.5</v>
      </c>
      <c r="Y10" s="337">
        <v>13536.1</v>
      </c>
      <c r="Z10" s="338">
        <v>17881.099999999999</v>
      </c>
      <c r="AA10" s="425">
        <v>18003.900000000001</v>
      </c>
      <c r="AB10" s="337">
        <v>20256.699999999997</v>
      </c>
      <c r="AC10" s="337">
        <v>19794</v>
      </c>
      <c r="AD10" s="338">
        <v>19493.600000000002</v>
      </c>
      <c r="AE10" s="425">
        <v>20994.899999999998</v>
      </c>
      <c r="AF10" s="337">
        <v>22090.400000000001</v>
      </c>
      <c r="AG10" s="337">
        <v>23190.600000000002</v>
      </c>
      <c r="AH10" s="338">
        <v>22829.3</v>
      </c>
      <c r="AI10" s="337">
        <v>23869.699999999997</v>
      </c>
      <c r="AJ10" s="337">
        <v>24267.600000000002</v>
      </c>
      <c r="AK10" s="337">
        <v>24310.3</v>
      </c>
      <c r="AL10" s="338">
        <v>23478.799999999999</v>
      </c>
      <c r="AM10" s="337">
        <v>25072</v>
      </c>
      <c r="AN10" s="337">
        <v>27761</v>
      </c>
      <c r="AO10" s="337">
        <v>27344</v>
      </c>
      <c r="AP10" s="338">
        <v>25721.300000000003</v>
      </c>
      <c r="AQ10" s="337">
        <v>26569.7</v>
      </c>
      <c r="AR10" s="337">
        <v>24427.600000000002</v>
      </c>
      <c r="AS10" s="337">
        <v>24446.100000000002</v>
      </c>
      <c r="AT10" s="337">
        <v>29465.100000000002</v>
      </c>
      <c r="AU10" s="407">
        <v>29135.7</v>
      </c>
      <c r="AV10" s="337">
        <v>28677</v>
      </c>
      <c r="AW10" s="337">
        <v>28823.4</v>
      </c>
      <c r="AX10" s="337">
        <v>31937.200000000001</v>
      </c>
      <c r="AY10" s="407">
        <v>29977.200000000001</v>
      </c>
      <c r="AZ10" s="337">
        <v>31315.200000000004</v>
      </c>
      <c r="BA10" s="337">
        <v>32063.300000000003</v>
      </c>
      <c r="BB10" s="337">
        <v>33824.400000000001</v>
      </c>
      <c r="BC10" s="407">
        <v>40196.100000000006</v>
      </c>
      <c r="BD10" s="337">
        <v>53077.599999999999</v>
      </c>
      <c r="BE10" s="337">
        <v>56084.100000000006</v>
      </c>
      <c r="BF10" s="337">
        <v>54933.5</v>
      </c>
    </row>
    <row r="11" spans="1:58" s="428" customFormat="1" ht="11.25">
      <c r="A11" s="508" t="s">
        <v>945</v>
      </c>
      <c r="B11" s="532" t="s">
        <v>944</v>
      </c>
      <c r="C11" s="425">
        <v>13782.6</v>
      </c>
      <c r="D11" s="337">
        <v>14567.2</v>
      </c>
      <c r="E11" s="337">
        <v>15449.4</v>
      </c>
      <c r="F11" s="337">
        <v>16379.1</v>
      </c>
      <c r="G11" s="425">
        <v>18039.900000000001</v>
      </c>
      <c r="H11" s="337">
        <v>20372</v>
      </c>
      <c r="I11" s="337">
        <v>21986.799999999999</v>
      </c>
      <c r="J11" s="338">
        <v>25742.799999999999</v>
      </c>
      <c r="K11" s="425">
        <v>29040.3</v>
      </c>
      <c r="L11" s="337">
        <v>29268.6</v>
      </c>
      <c r="M11" s="337">
        <v>29050</v>
      </c>
      <c r="N11" s="338">
        <v>30592.799999999999</v>
      </c>
      <c r="O11" s="425">
        <v>30159.599999999999</v>
      </c>
      <c r="P11" s="337">
        <v>31781.200000000001</v>
      </c>
      <c r="Q11" s="337">
        <v>33320.6</v>
      </c>
      <c r="R11" s="338">
        <v>34509</v>
      </c>
      <c r="S11" s="425">
        <v>35332.400000000001</v>
      </c>
      <c r="T11" s="337">
        <v>37094.800000000003</v>
      </c>
      <c r="U11" s="337">
        <v>39789.699999999997</v>
      </c>
      <c r="V11" s="338">
        <v>42329.7</v>
      </c>
      <c r="W11" s="337">
        <v>47795.899999999994</v>
      </c>
      <c r="X11" s="337">
        <v>48490.6</v>
      </c>
      <c r="Y11" s="337">
        <v>49275.1</v>
      </c>
      <c r="Z11" s="338">
        <v>48985.299999999996</v>
      </c>
      <c r="AA11" s="425">
        <v>49119.30000000001</v>
      </c>
      <c r="AB11" s="337">
        <v>51756.700000000004</v>
      </c>
      <c r="AC11" s="337">
        <v>52357.599999999999</v>
      </c>
      <c r="AD11" s="338">
        <v>52876.7</v>
      </c>
      <c r="AE11" s="425">
        <v>55257.5</v>
      </c>
      <c r="AF11" s="337">
        <v>58092.499999999985</v>
      </c>
      <c r="AG11" s="337">
        <v>60705.7</v>
      </c>
      <c r="AH11" s="338">
        <v>61161.4</v>
      </c>
      <c r="AI11" s="337">
        <v>64386.1</v>
      </c>
      <c r="AJ11" s="337">
        <v>68618.5</v>
      </c>
      <c r="AK11" s="337">
        <v>71978.8</v>
      </c>
      <c r="AL11" s="338">
        <v>73874</v>
      </c>
      <c r="AM11" s="337">
        <v>75349.899999999994</v>
      </c>
      <c r="AN11" s="337">
        <v>78308.599999999991</v>
      </c>
      <c r="AO11" s="337">
        <v>80397.2</v>
      </c>
      <c r="AP11" s="338">
        <v>81979.5</v>
      </c>
      <c r="AQ11" s="337">
        <v>84399.5</v>
      </c>
      <c r="AR11" s="337">
        <v>86922.3</v>
      </c>
      <c r="AS11" s="337">
        <v>90107</v>
      </c>
      <c r="AT11" s="337">
        <v>87274.6</v>
      </c>
      <c r="AU11" s="407">
        <v>90028.2</v>
      </c>
      <c r="AV11" s="337">
        <v>94475.3</v>
      </c>
      <c r="AW11" s="337">
        <v>98986</v>
      </c>
      <c r="AX11" s="337">
        <v>102907.40000000001</v>
      </c>
      <c r="AY11" s="407">
        <v>107181.3</v>
      </c>
      <c r="AZ11" s="337">
        <v>110316.4</v>
      </c>
      <c r="BA11" s="337">
        <v>115551</v>
      </c>
      <c r="BB11" s="337">
        <v>118127.8</v>
      </c>
      <c r="BC11" s="407">
        <v>123459.7</v>
      </c>
      <c r="BD11" s="337">
        <v>120598.09999999999</v>
      </c>
      <c r="BE11" s="337">
        <v>122382</v>
      </c>
      <c r="BF11" s="337">
        <v>124655.3</v>
      </c>
    </row>
    <row r="12" spans="1:58" s="424" customFormat="1" ht="11.25">
      <c r="A12" s="508" t="s">
        <v>180</v>
      </c>
      <c r="B12" s="508" t="s">
        <v>496</v>
      </c>
      <c r="C12" s="425">
        <v>102.7</v>
      </c>
      <c r="D12" s="337">
        <v>77</v>
      </c>
      <c r="E12" s="337">
        <v>86.6</v>
      </c>
      <c r="F12" s="337">
        <v>97.3</v>
      </c>
      <c r="G12" s="425">
        <v>108.9</v>
      </c>
      <c r="H12" s="337">
        <v>84.9</v>
      </c>
      <c r="I12" s="337">
        <v>97.9</v>
      </c>
      <c r="J12" s="338">
        <v>107.3</v>
      </c>
      <c r="K12" s="425">
        <v>117.4</v>
      </c>
      <c r="L12" s="337">
        <v>89.1</v>
      </c>
      <c r="M12" s="337">
        <v>99.5</v>
      </c>
      <c r="N12" s="338">
        <v>115.6</v>
      </c>
      <c r="O12" s="425">
        <v>122.9</v>
      </c>
      <c r="P12" s="337">
        <v>133.80000000000001</v>
      </c>
      <c r="Q12" s="337">
        <v>144.4</v>
      </c>
      <c r="R12" s="338">
        <v>156.80000000000001</v>
      </c>
      <c r="S12" s="425">
        <v>166.6</v>
      </c>
      <c r="T12" s="337">
        <v>86.6</v>
      </c>
      <c r="U12" s="337">
        <v>94.8</v>
      </c>
      <c r="V12" s="338">
        <v>105</v>
      </c>
      <c r="W12" s="337">
        <v>111.79999999999995</v>
      </c>
      <c r="X12" s="337">
        <v>96.799999999999955</v>
      </c>
      <c r="Y12" s="337">
        <v>104.29999999999995</v>
      </c>
      <c r="Z12" s="338">
        <v>114.39999999999998</v>
      </c>
      <c r="AA12" s="425">
        <v>123.29999999999995</v>
      </c>
      <c r="AB12" s="337">
        <v>115.10000000000002</v>
      </c>
      <c r="AC12" s="337">
        <v>124.39999999999998</v>
      </c>
      <c r="AD12" s="338">
        <v>136.5</v>
      </c>
      <c r="AE12" s="425">
        <v>147.69999999999993</v>
      </c>
      <c r="AF12" s="337">
        <v>-5.6898930012039273E-15</v>
      </c>
      <c r="AG12" s="337">
        <v>0</v>
      </c>
      <c r="AH12" s="338">
        <v>-2.3092638912203256E-14</v>
      </c>
      <c r="AI12" s="337">
        <v>0</v>
      </c>
      <c r="AJ12" s="337">
        <v>0</v>
      </c>
      <c r="AK12" s="337">
        <v>0</v>
      </c>
      <c r="AL12" s="338">
        <v>0</v>
      </c>
      <c r="AM12" s="337">
        <v>0</v>
      </c>
      <c r="AN12" s="337">
        <v>0</v>
      </c>
      <c r="AO12" s="337">
        <v>0</v>
      </c>
      <c r="AP12" s="338">
        <v>0</v>
      </c>
      <c r="AQ12" s="337">
        <v>0</v>
      </c>
      <c r="AR12" s="337">
        <v>0</v>
      </c>
      <c r="AS12" s="337">
        <v>0</v>
      </c>
      <c r="AT12" s="337">
        <v>1.3</v>
      </c>
      <c r="AU12" s="407">
        <v>1.3</v>
      </c>
      <c r="AV12" s="337">
        <v>1.3</v>
      </c>
      <c r="AW12" s="337">
        <v>1.1000000000000001</v>
      </c>
      <c r="AX12" s="337">
        <v>1</v>
      </c>
      <c r="AY12" s="407">
        <v>0.9</v>
      </c>
      <c r="AZ12" s="337">
        <v>0.7</v>
      </c>
      <c r="BA12" s="337">
        <v>171.5</v>
      </c>
      <c r="BB12" s="337">
        <v>181</v>
      </c>
      <c r="BC12" s="407">
        <v>185.4</v>
      </c>
      <c r="BD12" s="337">
        <v>166.4</v>
      </c>
      <c r="BE12" s="337">
        <v>170.2</v>
      </c>
      <c r="BF12" s="337">
        <v>174.1</v>
      </c>
    </row>
    <row r="13" spans="1:58" s="424" customFormat="1" ht="11.25">
      <c r="A13" s="508" t="s">
        <v>181</v>
      </c>
      <c r="B13" s="508" t="s">
        <v>576</v>
      </c>
      <c r="C13" s="425">
        <v>150.1</v>
      </c>
      <c r="D13" s="337">
        <v>149.1</v>
      </c>
      <c r="E13" s="337">
        <v>151.1</v>
      </c>
      <c r="F13" s="337">
        <v>144.69999999999999</v>
      </c>
      <c r="G13" s="425">
        <v>145.80000000000001</v>
      </c>
      <c r="H13" s="337">
        <v>135.80000000000001</v>
      </c>
      <c r="I13" s="337">
        <v>135.80000000000001</v>
      </c>
      <c r="J13" s="338">
        <v>151.5</v>
      </c>
      <c r="K13" s="425">
        <v>151.5</v>
      </c>
      <c r="L13" s="337">
        <v>151.5</v>
      </c>
      <c r="M13" s="337">
        <v>151.5</v>
      </c>
      <c r="N13" s="338">
        <v>129.69999999999999</v>
      </c>
      <c r="O13" s="425">
        <v>129.69999999999999</v>
      </c>
      <c r="P13" s="337">
        <v>129.69999999999999</v>
      </c>
      <c r="Q13" s="337">
        <v>140.4</v>
      </c>
      <c r="R13" s="338">
        <v>118.2</v>
      </c>
      <c r="S13" s="425">
        <v>118.2</v>
      </c>
      <c r="T13" s="337">
        <v>118.2</v>
      </c>
      <c r="U13" s="337">
        <v>118.2</v>
      </c>
      <c r="V13" s="338">
        <v>118.7</v>
      </c>
      <c r="W13" s="337">
        <v>118.7</v>
      </c>
      <c r="X13" s="337">
        <v>118.7</v>
      </c>
      <c r="Y13" s="337">
        <v>118.7</v>
      </c>
      <c r="Z13" s="338">
        <v>120.9</v>
      </c>
      <c r="AA13" s="425">
        <v>120.9</v>
      </c>
      <c r="AB13" s="337">
        <v>120.9</v>
      </c>
      <c r="AC13" s="337">
        <v>120.9</v>
      </c>
      <c r="AD13" s="338">
        <v>121.4</v>
      </c>
      <c r="AE13" s="425">
        <v>121.4</v>
      </c>
      <c r="AF13" s="337">
        <v>121.6</v>
      </c>
      <c r="AG13" s="337">
        <v>59.6</v>
      </c>
      <c r="AH13" s="338">
        <v>60</v>
      </c>
      <c r="AI13" s="337">
        <v>60</v>
      </c>
      <c r="AJ13" s="337">
        <v>61</v>
      </c>
      <c r="AK13" s="337">
        <v>61</v>
      </c>
      <c r="AL13" s="338">
        <v>53.2</v>
      </c>
      <c r="AM13" s="337">
        <v>53.2</v>
      </c>
      <c r="AN13" s="337">
        <v>53.2</v>
      </c>
      <c r="AO13" s="337">
        <v>53.2</v>
      </c>
      <c r="AP13" s="338">
        <v>0</v>
      </c>
      <c r="AQ13" s="337">
        <v>0</v>
      </c>
      <c r="AR13" s="337">
        <v>0</v>
      </c>
      <c r="AS13" s="337">
        <v>0</v>
      </c>
      <c r="AT13" s="337">
        <v>0</v>
      </c>
      <c r="AU13" s="407">
        <v>0</v>
      </c>
      <c r="AV13" s="408">
        <v>0</v>
      </c>
      <c r="AW13" s="408">
        <v>0</v>
      </c>
      <c r="AX13" s="408">
        <v>0</v>
      </c>
      <c r="AY13" s="407">
        <v>0</v>
      </c>
      <c r="AZ13" s="408">
        <v>0</v>
      </c>
      <c r="BA13" s="408">
        <v>0</v>
      </c>
      <c r="BB13" s="408">
        <v>0</v>
      </c>
      <c r="BC13" s="407">
        <v>0</v>
      </c>
      <c r="BD13" s="408">
        <v>0</v>
      </c>
      <c r="BE13" s="408">
        <v>0</v>
      </c>
      <c r="BF13" s="408">
        <v>0</v>
      </c>
    </row>
    <row r="14" spans="1:58" s="424" customFormat="1" ht="11.25">
      <c r="A14" s="508" t="s">
        <v>182</v>
      </c>
      <c r="B14" s="508" t="s">
        <v>577</v>
      </c>
      <c r="C14" s="425">
        <v>565</v>
      </c>
      <c r="D14" s="337">
        <v>552.5</v>
      </c>
      <c r="E14" s="337">
        <v>543.1</v>
      </c>
      <c r="F14" s="337">
        <v>532.9</v>
      </c>
      <c r="G14" s="425">
        <v>536.4</v>
      </c>
      <c r="H14" s="337">
        <v>529.1</v>
      </c>
      <c r="I14" s="337">
        <v>527.6</v>
      </c>
      <c r="J14" s="338">
        <v>544.20000000000005</v>
      </c>
      <c r="K14" s="425">
        <v>548.6</v>
      </c>
      <c r="L14" s="337">
        <v>553.20000000000005</v>
      </c>
      <c r="M14" s="337">
        <v>541.29999999999995</v>
      </c>
      <c r="N14" s="338">
        <v>548.79999999999995</v>
      </c>
      <c r="O14" s="425">
        <v>539</v>
      </c>
      <c r="P14" s="337">
        <v>536.29999999999995</v>
      </c>
      <c r="Q14" s="337">
        <v>520.5</v>
      </c>
      <c r="R14" s="338">
        <v>544.20000000000005</v>
      </c>
      <c r="S14" s="425">
        <v>531.29999999999995</v>
      </c>
      <c r="T14" s="337">
        <v>511.2</v>
      </c>
      <c r="U14" s="337">
        <v>516.6</v>
      </c>
      <c r="V14" s="338">
        <v>575.29999999999995</v>
      </c>
      <c r="W14" s="337">
        <v>573.70000000000016</v>
      </c>
      <c r="X14" s="337">
        <v>579.50000000000011</v>
      </c>
      <c r="Y14" s="337">
        <v>583.40000000000009</v>
      </c>
      <c r="Z14" s="338">
        <v>600</v>
      </c>
      <c r="AA14" s="425">
        <v>573.29999999999995</v>
      </c>
      <c r="AB14" s="337">
        <v>554.1</v>
      </c>
      <c r="AC14" s="337">
        <v>544.30000000000007</v>
      </c>
      <c r="AD14" s="338">
        <v>576.59999999999991</v>
      </c>
      <c r="AE14" s="425">
        <v>569.9</v>
      </c>
      <c r="AF14" s="337">
        <v>583.9</v>
      </c>
      <c r="AG14" s="337">
        <v>635.19999999999993</v>
      </c>
      <c r="AH14" s="338">
        <v>595</v>
      </c>
      <c r="AI14" s="337">
        <v>583.5</v>
      </c>
      <c r="AJ14" s="337">
        <v>564.29999999999995</v>
      </c>
      <c r="AK14" s="337">
        <v>574.20000000000005</v>
      </c>
      <c r="AL14" s="338">
        <v>597.70000000000005</v>
      </c>
      <c r="AM14" s="337">
        <v>566.70000000000005</v>
      </c>
      <c r="AN14" s="337">
        <v>552.9</v>
      </c>
      <c r="AO14" s="337">
        <v>540</v>
      </c>
      <c r="AP14" s="338">
        <v>578</v>
      </c>
      <c r="AQ14" s="337">
        <v>580.19999999999993</v>
      </c>
      <c r="AR14" s="337">
        <v>564.4</v>
      </c>
      <c r="AS14" s="337">
        <v>557</v>
      </c>
      <c r="AT14" s="337">
        <v>549</v>
      </c>
      <c r="AU14" s="407">
        <v>538.1</v>
      </c>
      <c r="AV14" s="337">
        <v>526.79999999999995</v>
      </c>
      <c r="AW14" s="337">
        <v>539.20000000000005</v>
      </c>
      <c r="AX14" s="337">
        <v>556.1</v>
      </c>
      <c r="AY14" s="407">
        <v>1004.3</v>
      </c>
      <c r="AZ14" s="337">
        <v>937.8</v>
      </c>
      <c r="BA14" s="337">
        <v>921.6</v>
      </c>
      <c r="BB14" s="337">
        <v>956</v>
      </c>
      <c r="BC14" s="407">
        <v>950.6</v>
      </c>
      <c r="BD14" s="337">
        <v>925.2</v>
      </c>
      <c r="BE14" s="337">
        <v>917.10000000000014</v>
      </c>
      <c r="BF14" s="337">
        <v>913.09999999999991</v>
      </c>
    </row>
    <row r="15" spans="1:58" s="424" customFormat="1" ht="11.25">
      <c r="A15" s="508" t="s">
        <v>183</v>
      </c>
      <c r="B15" s="508" t="s">
        <v>578</v>
      </c>
      <c r="C15" s="425">
        <v>325.7</v>
      </c>
      <c r="D15" s="337">
        <v>319.3</v>
      </c>
      <c r="E15" s="337">
        <v>319</v>
      </c>
      <c r="F15" s="337">
        <v>318.8</v>
      </c>
      <c r="G15" s="425">
        <v>315.8</v>
      </c>
      <c r="H15" s="337">
        <v>311</v>
      </c>
      <c r="I15" s="337">
        <v>309.5</v>
      </c>
      <c r="J15" s="338">
        <v>316.2</v>
      </c>
      <c r="K15" s="425">
        <v>313.5</v>
      </c>
      <c r="L15" s="337">
        <v>317.8</v>
      </c>
      <c r="M15" s="337">
        <v>316.39999999999998</v>
      </c>
      <c r="N15" s="338">
        <v>327.3</v>
      </c>
      <c r="O15" s="425">
        <v>322.89999999999998</v>
      </c>
      <c r="P15" s="337">
        <v>325.89999999999998</v>
      </c>
      <c r="Q15" s="337">
        <v>325.8</v>
      </c>
      <c r="R15" s="338">
        <v>342.2</v>
      </c>
      <c r="S15" s="425">
        <v>342</v>
      </c>
      <c r="T15" s="337">
        <v>357.8</v>
      </c>
      <c r="U15" s="337">
        <v>355.6</v>
      </c>
      <c r="V15" s="338">
        <v>362</v>
      </c>
      <c r="W15" s="337">
        <v>360.4</v>
      </c>
      <c r="X15" s="337">
        <v>358.8</v>
      </c>
      <c r="Y15" s="337">
        <v>361.1</v>
      </c>
      <c r="Z15" s="338">
        <v>361.59999999999997</v>
      </c>
      <c r="AA15" s="425">
        <v>353.6</v>
      </c>
      <c r="AB15" s="337">
        <v>353.10000000000008</v>
      </c>
      <c r="AC15" s="337">
        <v>352.00000000000011</v>
      </c>
      <c r="AD15" s="338">
        <v>365.90000000000003</v>
      </c>
      <c r="AE15" s="425">
        <v>358.90000000000003</v>
      </c>
      <c r="AF15" s="337">
        <v>358.50000000000006</v>
      </c>
      <c r="AG15" s="337">
        <v>360.89999999999992</v>
      </c>
      <c r="AH15" s="338">
        <v>377.29999999999995</v>
      </c>
      <c r="AI15" s="337">
        <v>374.39999999999992</v>
      </c>
      <c r="AJ15" s="337">
        <v>380.1</v>
      </c>
      <c r="AK15" s="337">
        <v>387.4</v>
      </c>
      <c r="AL15" s="338">
        <v>419.6</v>
      </c>
      <c r="AM15" s="337">
        <v>417.9</v>
      </c>
      <c r="AN15" s="337">
        <v>426.4</v>
      </c>
      <c r="AO15" s="337">
        <v>431.8</v>
      </c>
      <c r="AP15" s="338">
        <v>426.2</v>
      </c>
      <c r="AQ15" s="337">
        <v>415.1</v>
      </c>
      <c r="AR15" s="337">
        <v>420.6</v>
      </c>
      <c r="AS15" s="337">
        <v>422</v>
      </c>
      <c r="AT15" s="337">
        <v>431</v>
      </c>
      <c r="AU15" s="407">
        <v>427.5</v>
      </c>
      <c r="AV15" s="337">
        <v>430</v>
      </c>
      <c r="AW15" s="337">
        <v>434.8</v>
      </c>
      <c r="AX15" s="337">
        <v>439.2</v>
      </c>
      <c r="AY15" s="407">
        <v>433.5</v>
      </c>
      <c r="AZ15" s="337">
        <v>420.7</v>
      </c>
      <c r="BA15" s="337">
        <v>424.8</v>
      </c>
      <c r="BB15" s="337">
        <v>429.9</v>
      </c>
      <c r="BC15" s="407">
        <v>424.3</v>
      </c>
      <c r="BD15" s="337">
        <v>423.2</v>
      </c>
      <c r="BE15" s="337">
        <v>424.6</v>
      </c>
      <c r="BF15" s="337">
        <v>426.6</v>
      </c>
    </row>
    <row r="16" spans="1:58" s="428" customFormat="1" ht="11.25" collapsed="1">
      <c r="A16" s="508" t="s">
        <v>184</v>
      </c>
      <c r="B16" s="508" t="s">
        <v>497</v>
      </c>
      <c r="C16" s="425">
        <v>0.2</v>
      </c>
      <c r="D16" s="337">
        <v>0.3</v>
      </c>
      <c r="E16" s="337">
        <v>0.2</v>
      </c>
      <c r="F16" s="337">
        <v>0.2</v>
      </c>
      <c r="G16" s="425">
        <v>0.3</v>
      </c>
      <c r="H16" s="337">
        <v>0.3</v>
      </c>
      <c r="I16" s="337">
        <v>0.2</v>
      </c>
      <c r="J16" s="338">
        <v>0.2</v>
      </c>
      <c r="K16" s="425">
        <v>0.2</v>
      </c>
      <c r="L16" s="337">
        <v>0.1</v>
      </c>
      <c r="M16" s="337">
        <v>0.2</v>
      </c>
      <c r="N16" s="338">
        <v>0.2</v>
      </c>
      <c r="O16" s="425">
        <v>0.2</v>
      </c>
      <c r="P16" s="337">
        <v>0.2</v>
      </c>
      <c r="Q16" s="337">
        <v>1.9</v>
      </c>
      <c r="R16" s="338">
        <v>14</v>
      </c>
      <c r="S16" s="425">
        <v>12.3</v>
      </c>
      <c r="T16" s="337">
        <v>40.9</v>
      </c>
      <c r="U16" s="337">
        <v>44.4</v>
      </c>
      <c r="V16" s="338">
        <v>33.6</v>
      </c>
      <c r="W16" s="337">
        <v>38.9</v>
      </c>
      <c r="X16" s="337">
        <v>37.299999999999997</v>
      </c>
      <c r="Y16" s="337">
        <v>33.799999999999997</v>
      </c>
      <c r="Z16" s="338">
        <v>33</v>
      </c>
      <c r="AA16" s="425">
        <v>44.3</v>
      </c>
      <c r="AB16" s="337">
        <v>49.6</v>
      </c>
      <c r="AC16" s="337">
        <v>49</v>
      </c>
      <c r="AD16" s="338">
        <v>35.299999999999997</v>
      </c>
      <c r="AE16" s="425">
        <v>32.200000000000003</v>
      </c>
      <c r="AF16" s="337">
        <v>134.30000000000001</v>
      </c>
      <c r="AG16" s="337">
        <v>151.80000000000001</v>
      </c>
      <c r="AH16" s="338">
        <v>144.9</v>
      </c>
      <c r="AI16" s="337">
        <v>151</v>
      </c>
      <c r="AJ16" s="337">
        <v>156</v>
      </c>
      <c r="AK16" s="337">
        <v>44.1</v>
      </c>
      <c r="AL16" s="338">
        <v>38.4</v>
      </c>
      <c r="AM16" s="337">
        <v>49.8</v>
      </c>
      <c r="AN16" s="337">
        <v>41.2</v>
      </c>
      <c r="AO16" s="337">
        <v>41.2</v>
      </c>
      <c r="AP16" s="338">
        <v>31.8</v>
      </c>
      <c r="AQ16" s="337">
        <v>19.7</v>
      </c>
      <c r="AR16" s="337">
        <v>14.3</v>
      </c>
      <c r="AS16" s="337">
        <v>15.3</v>
      </c>
      <c r="AT16" s="337">
        <v>11.1</v>
      </c>
      <c r="AU16" s="407">
        <v>10.9</v>
      </c>
      <c r="AV16" s="337">
        <v>16.2</v>
      </c>
      <c r="AW16" s="337">
        <v>16.2</v>
      </c>
      <c r="AX16" s="337">
        <v>10.9</v>
      </c>
      <c r="AY16" s="407">
        <v>12.1</v>
      </c>
      <c r="AZ16" s="337">
        <v>20.7</v>
      </c>
      <c r="BA16" s="337">
        <v>2.8</v>
      </c>
      <c r="BB16" s="337">
        <v>3.6</v>
      </c>
      <c r="BC16" s="407">
        <v>2.2000000000000002</v>
      </c>
      <c r="BD16" s="337">
        <v>3.4</v>
      </c>
      <c r="BE16" s="337">
        <v>3.4</v>
      </c>
      <c r="BF16" s="337">
        <v>3.6</v>
      </c>
    </row>
    <row r="17" spans="1:58" s="428" customFormat="1" ht="11.25">
      <c r="A17" s="508" t="s">
        <v>186</v>
      </c>
      <c r="B17" s="508" t="s">
        <v>579</v>
      </c>
      <c r="C17" s="425">
        <v>22.1</v>
      </c>
      <c r="D17" s="337">
        <v>99.5</v>
      </c>
      <c r="E17" s="337">
        <v>40.700000000000003</v>
      </c>
      <c r="F17" s="337">
        <v>49.3</v>
      </c>
      <c r="G17" s="425">
        <v>37.799999999999997</v>
      </c>
      <c r="H17" s="337">
        <v>88</v>
      </c>
      <c r="I17" s="337">
        <v>19.100000000000001</v>
      </c>
      <c r="J17" s="338">
        <v>48.7</v>
      </c>
      <c r="K17" s="425">
        <v>36.799999999999997</v>
      </c>
      <c r="L17" s="337">
        <v>0</v>
      </c>
      <c r="M17" s="337">
        <v>34.299999999999997</v>
      </c>
      <c r="N17" s="338">
        <v>86.4</v>
      </c>
      <c r="O17" s="425">
        <v>62.4</v>
      </c>
      <c r="P17" s="337">
        <v>97.4</v>
      </c>
      <c r="Q17" s="337">
        <v>77.400000000000006</v>
      </c>
      <c r="R17" s="338">
        <v>167.4</v>
      </c>
      <c r="S17" s="425">
        <v>143.9</v>
      </c>
      <c r="T17" s="337">
        <v>100.6</v>
      </c>
      <c r="U17" s="337">
        <v>97.4</v>
      </c>
      <c r="V17" s="338">
        <v>16.5</v>
      </c>
      <c r="W17" s="337">
        <v>69.7</v>
      </c>
      <c r="X17" s="337">
        <v>139.20000000000002</v>
      </c>
      <c r="Y17" s="337">
        <v>45.199999999999996</v>
      </c>
      <c r="Z17" s="338">
        <v>38.299999999999997</v>
      </c>
      <c r="AA17" s="425">
        <v>55.1</v>
      </c>
      <c r="AB17" s="337">
        <v>74.099999999999994</v>
      </c>
      <c r="AC17" s="337">
        <v>102.5</v>
      </c>
      <c r="AD17" s="338">
        <v>118.6</v>
      </c>
      <c r="AE17" s="425">
        <v>90.5</v>
      </c>
      <c r="AF17" s="337">
        <v>62.3</v>
      </c>
      <c r="AG17" s="337">
        <v>61.099999999999994</v>
      </c>
      <c r="AH17" s="338">
        <v>58</v>
      </c>
      <c r="AI17" s="337">
        <v>58.1</v>
      </c>
      <c r="AJ17" s="337">
        <v>65.400000000000006</v>
      </c>
      <c r="AK17" s="337">
        <v>55.4</v>
      </c>
      <c r="AL17" s="338">
        <v>59.5</v>
      </c>
      <c r="AM17" s="337">
        <v>68.2</v>
      </c>
      <c r="AN17" s="337">
        <v>76.599999999999994</v>
      </c>
      <c r="AO17" s="337">
        <v>77.400000000000006</v>
      </c>
      <c r="AP17" s="338">
        <v>0.3</v>
      </c>
      <c r="AQ17" s="337">
        <v>0.2</v>
      </c>
      <c r="AR17" s="337">
        <v>0</v>
      </c>
      <c r="AS17" s="337">
        <v>0</v>
      </c>
      <c r="AT17" s="337">
        <v>0</v>
      </c>
      <c r="AU17" s="407">
        <v>1.8</v>
      </c>
      <c r="AV17" s="337">
        <v>0</v>
      </c>
      <c r="AW17" s="337">
        <v>0</v>
      </c>
      <c r="AX17" s="337">
        <v>0</v>
      </c>
      <c r="AY17" s="407">
        <v>0</v>
      </c>
      <c r="AZ17" s="337">
        <v>0</v>
      </c>
      <c r="BA17" s="337">
        <v>0</v>
      </c>
      <c r="BB17" s="337">
        <v>0</v>
      </c>
      <c r="BC17" s="407">
        <v>0</v>
      </c>
      <c r="BD17" s="337">
        <v>0</v>
      </c>
      <c r="BE17" s="337">
        <v>0</v>
      </c>
      <c r="BF17" s="337">
        <v>2.7</v>
      </c>
    </row>
    <row r="18" spans="1:58" s="428" customFormat="1" ht="11.25">
      <c r="A18" s="508" t="s">
        <v>185</v>
      </c>
      <c r="B18" s="508" t="s">
        <v>580</v>
      </c>
      <c r="C18" s="425">
        <v>0</v>
      </c>
      <c r="D18" s="337">
        <v>0</v>
      </c>
      <c r="E18" s="337">
        <v>0</v>
      </c>
      <c r="F18" s="337">
        <v>25.3</v>
      </c>
      <c r="G18" s="425">
        <v>9.6999999999999993</v>
      </c>
      <c r="H18" s="337">
        <v>0</v>
      </c>
      <c r="I18" s="337">
        <v>0</v>
      </c>
      <c r="J18" s="338">
        <v>0.1</v>
      </c>
      <c r="K18" s="425">
        <v>18.7</v>
      </c>
      <c r="L18" s="337">
        <v>82.9</v>
      </c>
      <c r="M18" s="337">
        <v>0</v>
      </c>
      <c r="N18" s="338">
        <v>0.8</v>
      </c>
      <c r="O18" s="425">
        <v>0.4</v>
      </c>
      <c r="P18" s="337">
        <v>0.3</v>
      </c>
      <c r="Q18" s="337">
        <v>0</v>
      </c>
      <c r="R18" s="338">
        <v>0.6</v>
      </c>
      <c r="S18" s="425">
        <v>37.9</v>
      </c>
      <c r="T18" s="337">
        <v>55.2</v>
      </c>
      <c r="U18" s="337">
        <v>56.2</v>
      </c>
      <c r="V18" s="338">
        <v>147.5</v>
      </c>
      <c r="W18" s="337">
        <v>91.3</v>
      </c>
      <c r="X18" s="337">
        <v>0.2</v>
      </c>
      <c r="Y18" s="337">
        <v>0</v>
      </c>
      <c r="Z18" s="338">
        <v>0.3</v>
      </c>
      <c r="AA18" s="425">
        <v>1</v>
      </c>
      <c r="AB18" s="337">
        <v>0.2</v>
      </c>
      <c r="AC18" s="337">
        <v>0.5</v>
      </c>
      <c r="AD18" s="338">
        <v>1.2999999999999998</v>
      </c>
      <c r="AE18" s="425">
        <v>9.8000000000000007</v>
      </c>
      <c r="AF18" s="337">
        <v>29.099999999999998</v>
      </c>
      <c r="AG18" s="337">
        <v>37.700000000000003</v>
      </c>
      <c r="AH18" s="338">
        <v>1.1000000000000001</v>
      </c>
      <c r="AI18" s="337">
        <v>19.7</v>
      </c>
      <c r="AJ18" s="337">
        <v>0.5</v>
      </c>
      <c r="AK18" s="337">
        <v>0.4</v>
      </c>
      <c r="AL18" s="338">
        <v>0.1</v>
      </c>
      <c r="AM18" s="337">
        <v>3.2</v>
      </c>
      <c r="AN18" s="337">
        <v>0.3</v>
      </c>
      <c r="AO18" s="337">
        <v>0.1</v>
      </c>
      <c r="AP18" s="338">
        <v>237.20000000000002</v>
      </c>
      <c r="AQ18" s="337">
        <v>181.70000000000002</v>
      </c>
      <c r="AR18" s="337">
        <v>228.5</v>
      </c>
      <c r="AS18" s="337">
        <v>250.4</v>
      </c>
      <c r="AT18" s="337">
        <v>309.89999999999998</v>
      </c>
      <c r="AU18" s="407">
        <v>274.60000000000002</v>
      </c>
      <c r="AV18" s="337">
        <v>335.2</v>
      </c>
      <c r="AW18" s="337">
        <v>356.3</v>
      </c>
      <c r="AX18" s="337">
        <v>398.2</v>
      </c>
      <c r="AY18" s="407">
        <v>431.7</v>
      </c>
      <c r="AZ18" s="337">
        <v>419.8</v>
      </c>
      <c r="BA18" s="337">
        <v>399.2</v>
      </c>
      <c r="BB18" s="337">
        <v>445.6</v>
      </c>
      <c r="BC18" s="407">
        <v>377.7</v>
      </c>
      <c r="BD18" s="337">
        <v>380.1</v>
      </c>
      <c r="BE18" s="337">
        <v>409.7</v>
      </c>
      <c r="BF18" s="337">
        <v>423.2</v>
      </c>
    </row>
    <row r="19" spans="1:58" s="424" customFormat="1" ht="11.25">
      <c r="A19" s="508" t="s">
        <v>187</v>
      </c>
      <c r="B19" s="508" t="s">
        <v>16</v>
      </c>
      <c r="C19" s="425">
        <v>128.1</v>
      </c>
      <c r="D19" s="337">
        <v>154.80000000000001</v>
      </c>
      <c r="E19" s="337">
        <v>132.9</v>
      </c>
      <c r="F19" s="337">
        <v>137.4</v>
      </c>
      <c r="G19" s="425">
        <v>122.2</v>
      </c>
      <c r="H19" s="337">
        <v>129.9</v>
      </c>
      <c r="I19" s="337">
        <v>190.9</v>
      </c>
      <c r="J19" s="338">
        <v>166</v>
      </c>
      <c r="K19" s="425">
        <v>187.9</v>
      </c>
      <c r="L19" s="337">
        <v>193</v>
      </c>
      <c r="M19" s="337">
        <v>207.2</v>
      </c>
      <c r="N19" s="338">
        <v>150</v>
      </c>
      <c r="O19" s="425">
        <v>175.4</v>
      </c>
      <c r="P19" s="337">
        <v>175.6</v>
      </c>
      <c r="Q19" s="337">
        <v>214.1</v>
      </c>
      <c r="R19" s="338">
        <v>159.69999999999999</v>
      </c>
      <c r="S19" s="425">
        <v>224.5</v>
      </c>
      <c r="T19" s="337">
        <v>210.1</v>
      </c>
      <c r="U19" s="337">
        <v>216</v>
      </c>
      <c r="V19" s="338">
        <v>141.80000000000001</v>
      </c>
      <c r="W19" s="337">
        <v>177.60000000000002</v>
      </c>
      <c r="X19" s="337">
        <v>248.39999999999998</v>
      </c>
      <c r="Y19" s="337">
        <v>316</v>
      </c>
      <c r="Z19" s="338">
        <v>193.9</v>
      </c>
      <c r="AA19" s="425">
        <v>173.3</v>
      </c>
      <c r="AB19" s="337">
        <v>225.39999999999998</v>
      </c>
      <c r="AC19" s="337">
        <v>187.80000000000004</v>
      </c>
      <c r="AD19" s="338">
        <v>180.1</v>
      </c>
      <c r="AE19" s="425">
        <v>243</v>
      </c>
      <c r="AF19" s="337">
        <v>331.9</v>
      </c>
      <c r="AG19" s="337">
        <v>300.5</v>
      </c>
      <c r="AH19" s="338">
        <v>211.8</v>
      </c>
      <c r="AI19" s="337">
        <v>269</v>
      </c>
      <c r="AJ19" s="337">
        <v>283.39999999999998</v>
      </c>
      <c r="AK19" s="337">
        <v>265.10000000000002</v>
      </c>
      <c r="AL19" s="338">
        <v>194.7</v>
      </c>
      <c r="AM19" s="337">
        <v>213.2</v>
      </c>
      <c r="AN19" s="337">
        <v>290.10000000000002</v>
      </c>
      <c r="AO19" s="337">
        <v>292.2</v>
      </c>
      <c r="AP19" s="338">
        <v>282.5</v>
      </c>
      <c r="AQ19" s="337">
        <v>333.8</v>
      </c>
      <c r="AR19" s="337">
        <v>362.90000000000003</v>
      </c>
      <c r="AS19" s="337">
        <v>385.5</v>
      </c>
      <c r="AT19" s="337">
        <v>409.2</v>
      </c>
      <c r="AU19" s="407">
        <v>345.9</v>
      </c>
      <c r="AV19" s="337">
        <v>400.3</v>
      </c>
      <c r="AW19" s="337">
        <v>444.6</v>
      </c>
      <c r="AX19" s="337">
        <v>486</v>
      </c>
      <c r="AY19" s="407">
        <v>558.4</v>
      </c>
      <c r="AZ19" s="337">
        <v>630.5</v>
      </c>
      <c r="BA19" s="337">
        <v>577.1</v>
      </c>
      <c r="BB19" s="337">
        <v>204.8</v>
      </c>
      <c r="BC19" s="407">
        <v>235.3</v>
      </c>
      <c r="BD19" s="337">
        <v>203.2</v>
      </c>
      <c r="BE19" s="337">
        <v>230.2</v>
      </c>
      <c r="BF19" s="337">
        <v>279.2</v>
      </c>
    </row>
    <row r="20" spans="1:58" s="176" customFormat="1" ht="11.25">
      <c r="A20" s="51" t="s">
        <v>188</v>
      </c>
      <c r="B20" s="51" t="s">
        <v>17</v>
      </c>
      <c r="C20" s="37">
        <f>SUM(C6:C19)</f>
        <v>56616.89999999998</v>
      </c>
      <c r="D20" s="38">
        <f t="shared" ref="D20:AU20" si="0">SUM(D6:D19)</f>
        <v>53203.100000000013</v>
      </c>
      <c r="E20" s="38">
        <f t="shared" si="0"/>
        <v>53246.599999999991</v>
      </c>
      <c r="F20" s="38">
        <f t="shared" si="0"/>
        <v>52010.80000000001</v>
      </c>
      <c r="G20" s="37">
        <f t="shared" si="0"/>
        <v>60234.400000000009</v>
      </c>
      <c r="H20" s="38">
        <f t="shared" si="0"/>
        <v>60513.200000000004</v>
      </c>
      <c r="I20" s="38">
        <f t="shared" si="0"/>
        <v>65262.600000000006</v>
      </c>
      <c r="J20" s="38">
        <f t="shared" si="0"/>
        <v>69610.5</v>
      </c>
      <c r="K20" s="37">
        <f t="shared" si="0"/>
        <v>68205.799999999988</v>
      </c>
      <c r="L20" s="38">
        <f t="shared" si="0"/>
        <v>64516.5</v>
      </c>
      <c r="M20" s="38">
        <f t="shared" si="0"/>
        <v>64256.4</v>
      </c>
      <c r="N20" s="38">
        <f t="shared" si="0"/>
        <v>59883.400000000009</v>
      </c>
      <c r="O20" s="37">
        <f t="shared" si="0"/>
        <v>62099.1</v>
      </c>
      <c r="P20" s="38">
        <f t="shared" si="0"/>
        <v>61583.000000000007</v>
      </c>
      <c r="Q20" s="38">
        <f t="shared" si="0"/>
        <v>62165.500000000007</v>
      </c>
      <c r="R20" s="38">
        <f t="shared" si="0"/>
        <v>64517.499999999985</v>
      </c>
      <c r="S20" s="37">
        <f t="shared" si="0"/>
        <v>65839.799999999988</v>
      </c>
      <c r="T20" s="38">
        <f t="shared" si="0"/>
        <v>67500.900000000009</v>
      </c>
      <c r="U20" s="38">
        <f t="shared" si="0"/>
        <v>73696.099999999991</v>
      </c>
      <c r="V20" s="38">
        <f t="shared" si="0"/>
        <v>69723.400000000009</v>
      </c>
      <c r="W20" s="37">
        <f t="shared" si="0"/>
        <v>72263.099999999991</v>
      </c>
      <c r="X20" s="38">
        <f t="shared" si="0"/>
        <v>70260.099999999991</v>
      </c>
      <c r="Y20" s="38">
        <f t="shared" si="0"/>
        <v>73637.799999999988</v>
      </c>
      <c r="Z20" s="39">
        <f t="shared" si="0"/>
        <v>78266.799999999988</v>
      </c>
      <c r="AA20" s="37">
        <f t="shared" si="0"/>
        <v>77753.800000000032</v>
      </c>
      <c r="AB20" s="38">
        <f t="shared" si="0"/>
        <v>81790.60000000002</v>
      </c>
      <c r="AC20" s="38">
        <f t="shared" si="0"/>
        <v>84639.5</v>
      </c>
      <c r="AD20" s="39">
        <f t="shared" si="0"/>
        <v>86750.6</v>
      </c>
      <c r="AE20" s="37">
        <f t="shared" si="0"/>
        <v>92244.699999999968</v>
      </c>
      <c r="AF20" s="38">
        <f t="shared" si="0"/>
        <v>98261.799999999988</v>
      </c>
      <c r="AG20" s="38">
        <f t="shared" si="0"/>
        <v>96848.5</v>
      </c>
      <c r="AH20" s="39">
        <f t="shared" si="0"/>
        <v>99860.700000000012</v>
      </c>
      <c r="AI20" s="38">
        <f t="shared" si="0"/>
        <v>102568.3</v>
      </c>
      <c r="AJ20" s="38">
        <f t="shared" si="0"/>
        <v>105318.90000000001</v>
      </c>
      <c r="AK20" s="38">
        <f t="shared" si="0"/>
        <v>112180.7</v>
      </c>
      <c r="AL20" s="39">
        <f t="shared" si="0"/>
        <v>108893.09999999999</v>
      </c>
      <c r="AM20" s="38">
        <f t="shared" si="0"/>
        <v>112732.69999999998</v>
      </c>
      <c r="AN20" s="38">
        <f t="shared" si="0"/>
        <v>115639.7</v>
      </c>
      <c r="AO20" s="38">
        <f t="shared" si="0"/>
        <v>116550</v>
      </c>
      <c r="AP20" s="39">
        <f t="shared" si="0"/>
        <v>117477.70000000001</v>
      </c>
      <c r="AQ20" s="38">
        <f t="shared" si="0"/>
        <v>118850.5</v>
      </c>
      <c r="AR20" s="38">
        <f t="shared" si="0"/>
        <v>120197.6</v>
      </c>
      <c r="AS20" s="38">
        <f t="shared" si="0"/>
        <v>122290</v>
      </c>
      <c r="AT20" s="38">
        <f t="shared" si="0"/>
        <v>125971.80000000002</v>
      </c>
      <c r="AU20" s="74">
        <f t="shared" si="0"/>
        <v>127549.1</v>
      </c>
      <c r="AV20" s="38">
        <f t="shared" ref="AV20:AW20" si="1">SUM(AV6:AV19)</f>
        <v>131042.50000000001</v>
      </c>
      <c r="AW20" s="38">
        <f t="shared" si="1"/>
        <v>134384.30000000002</v>
      </c>
      <c r="AX20" s="38">
        <f t="shared" ref="AX20:AY20" si="2">SUM(AX6:AX19)</f>
        <v>141812.90000000002</v>
      </c>
      <c r="AY20" s="74">
        <f t="shared" si="2"/>
        <v>145717.4</v>
      </c>
      <c r="AZ20" s="38">
        <f t="shared" ref="AZ20:BA20" si="3">SUM(AZ6:AZ19)</f>
        <v>150909.1</v>
      </c>
      <c r="BA20" s="38">
        <f t="shared" si="3"/>
        <v>156013.79999999999</v>
      </c>
      <c r="BB20" s="38">
        <f t="shared" ref="BB20:BC20" si="4">SUM(BB6:BB19)</f>
        <v>158610.69999999998</v>
      </c>
      <c r="BC20" s="74">
        <f t="shared" si="4"/>
        <v>171241.60000000001</v>
      </c>
      <c r="BD20" s="38">
        <f t="shared" ref="BD20:BE20" si="5">SUM(BD6:BD19)</f>
        <v>180639.30000000002</v>
      </c>
      <c r="BE20" s="38">
        <f t="shared" si="5"/>
        <v>184859.50000000003</v>
      </c>
      <c r="BF20" s="38">
        <f t="shared" ref="BF20" si="6">SUM(BF6:BF19)</f>
        <v>186595.70000000007</v>
      </c>
    </row>
    <row r="21" spans="1:58" s="17" customFormat="1" ht="7.15" customHeight="1">
      <c r="A21" s="30"/>
      <c r="B21" s="30"/>
      <c r="C21" s="27"/>
      <c r="D21" s="28"/>
      <c r="E21" s="28"/>
      <c r="F21" s="28"/>
      <c r="G21" s="27"/>
      <c r="H21" s="28"/>
      <c r="I21" s="28"/>
      <c r="J21" s="29"/>
      <c r="K21" s="27"/>
      <c r="L21" s="28"/>
      <c r="M21" s="28"/>
      <c r="N21" s="29"/>
      <c r="O21" s="27"/>
      <c r="P21" s="28"/>
      <c r="Q21" s="28"/>
      <c r="R21" s="29"/>
      <c r="S21" s="27"/>
      <c r="T21" s="28"/>
      <c r="U21" s="28"/>
      <c r="V21" s="29"/>
      <c r="W21" s="28"/>
      <c r="X21" s="28"/>
      <c r="Y21" s="28"/>
      <c r="Z21" s="29"/>
      <c r="AA21" s="27"/>
      <c r="AB21" s="28"/>
      <c r="AC21" s="28"/>
      <c r="AD21" s="29"/>
      <c r="AE21" s="27"/>
      <c r="AF21" s="28"/>
      <c r="AG21" s="28"/>
      <c r="AH21" s="29"/>
      <c r="AI21" s="28"/>
      <c r="AJ21" s="28"/>
      <c r="AK21" s="28"/>
      <c r="AL21" s="29"/>
      <c r="AM21" s="28"/>
      <c r="AN21" s="28"/>
      <c r="AO21" s="28"/>
      <c r="AP21" s="29"/>
      <c r="AQ21" s="28"/>
      <c r="AR21" s="28"/>
      <c r="AS21" s="28"/>
      <c r="AT21" s="28"/>
      <c r="AU21" s="27"/>
      <c r="AV21" s="28"/>
      <c r="AW21" s="28"/>
      <c r="AX21" s="28"/>
      <c r="AY21" s="27"/>
      <c r="AZ21" s="28"/>
      <c r="BA21" s="28"/>
      <c r="BB21" s="28"/>
      <c r="BC21" s="27"/>
      <c r="BD21" s="28"/>
      <c r="BE21" s="28"/>
      <c r="BF21" s="28"/>
    </row>
    <row r="22" spans="1:58" s="17" customFormat="1" ht="11.25">
      <c r="A22" s="183" t="s">
        <v>190</v>
      </c>
      <c r="B22" s="183" t="s">
        <v>18</v>
      </c>
      <c r="C22" s="27"/>
      <c r="D22" s="28"/>
      <c r="E22" s="28"/>
      <c r="F22" s="28"/>
      <c r="G22" s="27"/>
      <c r="H22" s="28"/>
      <c r="I22" s="28"/>
      <c r="J22" s="29"/>
      <c r="K22" s="27"/>
      <c r="L22" s="28"/>
      <c r="M22" s="28"/>
      <c r="N22" s="29"/>
      <c r="O22" s="27"/>
      <c r="P22" s="28"/>
      <c r="Q22" s="28"/>
      <c r="R22" s="29"/>
      <c r="S22" s="27"/>
      <c r="T22" s="28"/>
      <c r="U22" s="28"/>
      <c r="V22" s="29"/>
      <c r="W22" s="28"/>
      <c r="X22" s="28"/>
      <c r="Y22" s="28"/>
      <c r="Z22" s="29"/>
      <c r="AA22" s="27"/>
      <c r="AB22" s="28"/>
      <c r="AC22" s="28"/>
      <c r="AD22" s="29"/>
      <c r="AE22" s="27"/>
      <c r="AF22" s="28"/>
      <c r="AG22" s="28"/>
      <c r="AH22" s="29"/>
      <c r="AI22" s="28"/>
      <c r="AJ22" s="28"/>
      <c r="AK22" s="28"/>
      <c r="AL22" s="29"/>
      <c r="AM22" s="28"/>
      <c r="AN22" s="28"/>
      <c r="AO22" s="28"/>
      <c r="AP22" s="29"/>
      <c r="AQ22" s="28"/>
      <c r="AR22" s="28"/>
      <c r="AS22" s="28"/>
      <c r="AT22" s="28"/>
      <c r="AU22" s="27"/>
      <c r="AV22" s="28"/>
      <c r="AW22" s="28"/>
      <c r="AX22" s="28"/>
      <c r="AY22" s="27"/>
      <c r="AZ22" s="28"/>
      <c r="BA22" s="28"/>
      <c r="BB22" s="28"/>
      <c r="BC22" s="27"/>
      <c r="BD22" s="28"/>
      <c r="BE22" s="28"/>
      <c r="BF22" s="28"/>
    </row>
    <row r="23" spans="1:58" s="17" customFormat="1" ht="11.25">
      <c r="A23" s="183" t="s">
        <v>191</v>
      </c>
      <c r="B23" s="183" t="s">
        <v>19</v>
      </c>
      <c r="C23" s="27"/>
      <c r="D23" s="28"/>
      <c r="E23" s="28"/>
      <c r="F23" s="28"/>
      <c r="G23" s="27"/>
      <c r="H23" s="28"/>
      <c r="I23" s="28"/>
      <c r="J23" s="29"/>
      <c r="K23" s="27"/>
      <c r="L23" s="28"/>
      <c r="M23" s="28"/>
      <c r="N23" s="29"/>
      <c r="O23" s="27"/>
      <c r="P23" s="28"/>
      <c r="Q23" s="28"/>
      <c r="R23" s="29"/>
      <c r="S23" s="27"/>
      <c r="T23" s="28"/>
      <c r="U23" s="28"/>
      <c r="V23" s="29"/>
      <c r="W23" s="28"/>
      <c r="X23" s="28"/>
      <c r="Y23" s="28"/>
      <c r="Z23" s="29"/>
      <c r="AA23" s="27"/>
      <c r="AB23" s="28"/>
      <c r="AC23" s="28"/>
      <c r="AD23" s="29"/>
      <c r="AE23" s="27"/>
      <c r="AF23" s="28"/>
      <c r="AG23" s="28"/>
      <c r="AH23" s="29"/>
      <c r="AI23" s="28"/>
      <c r="AJ23" s="28"/>
      <c r="AK23" s="28"/>
      <c r="AL23" s="29"/>
      <c r="AM23" s="28"/>
      <c r="AN23" s="28"/>
      <c r="AO23" s="28"/>
      <c r="AP23" s="29"/>
      <c r="AQ23" s="28"/>
      <c r="AR23" s="28"/>
      <c r="AS23" s="28"/>
      <c r="AT23" s="28"/>
      <c r="AU23" s="27"/>
      <c r="AV23" s="28"/>
      <c r="AW23" s="28"/>
      <c r="AX23" s="28"/>
      <c r="AY23" s="27"/>
      <c r="AZ23" s="28"/>
      <c r="BA23" s="28"/>
      <c r="BB23" s="28"/>
      <c r="BC23" s="27"/>
      <c r="BD23" s="28"/>
      <c r="BE23" s="28"/>
      <c r="BF23" s="28"/>
    </row>
    <row r="24" spans="1:58" s="534" customFormat="1" ht="11.25">
      <c r="A24" s="550" t="s">
        <v>371</v>
      </c>
      <c r="B24" s="550" t="s">
        <v>345</v>
      </c>
      <c r="C24" s="425">
        <v>0</v>
      </c>
      <c r="D24" s="337">
        <v>0</v>
      </c>
      <c r="E24" s="337">
        <v>0</v>
      </c>
      <c r="F24" s="337">
        <v>0</v>
      </c>
      <c r="G24" s="425">
        <v>0</v>
      </c>
      <c r="H24" s="337">
        <v>0</v>
      </c>
      <c r="I24" s="337">
        <v>0</v>
      </c>
      <c r="J24" s="338">
        <v>5932.1</v>
      </c>
      <c r="K24" s="425">
        <v>4020.1</v>
      </c>
      <c r="L24" s="337">
        <v>0</v>
      </c>
      <c r="M24" s="337">
        <v>0</v>
      </c>
      <c r="N24" s="338">
        <v>0</v>
      </c>
      <c r="O24" s="425">
        <v>0</v>
      </c>
      <c r="P24" s="337">
        <v>0</v>
      </c>
      <c r="Q24" s="337">
        <v>0</v>
      </c>
      <c r="R24" s="338">
        <v>0</v>
      </c>
      <c r="S24" s="425">
        <v>0</v>
      </c>
      <c r="T24" s="337">
        <v>0</v>
      </c>
      <c r="U24" s="337">
        <v>0</v>
      </c>
      <c r="V24" s="338">
        <v>0</v>
      </c>
      <c r="W24" s="337">
        <v>0</v>
      </c>
      <c r="X24" s="337">
        <v>0</v>
      </c>
      <c r="Y24" s="337">
        <v>0</v>
      </c>
      <c r="Z24" s="338">
        <v>0</v>
      </c>
      <c r="AA24" s="425">
        <v>0</v>
      </c>
      <c r="AB24" s="337">
        <v>0</v>
      </c>
      <c r="AC24" s="337">
        <v>0</v>
      </c>
      <c r="AD24" s="338">
        <v>0</v>
      </c>
      <c r="AE24" s="425">
        <v>0</v>
      </c>
      <c r="AF24" s="337">
        <v>0</v>
      </c>
      <c r="AG24" s="337">
        <v>0</v>
      </c>
      <c r="AH24" s="338">
        <v>0</v>
      </c>
      <c r="AI24" s="337">
        <v>0</v>
      </c>
      <c r="AJ24" s="337">
        <v>0</v>
      </c>
      <c r="AK24" s="337">
        <v>0</v>
      </c>
      <c r="AL24" s="338">
        <v>0</v>
      </c>
      <c r="AM24" s="337">
        <v>0</v>
      </c>
      <c r="AN24" s="337">
        <v>0</v>
      </c>
      <c r="AO24" s="337">
        <v>0</v>
      </c>
      <c r="AP24" s="338">
        <v>0</v>
      </c>
      <c r="AQ24" s="337">
        <v>0</v>
      </c>
      <c r="AR24" s="337">
        <v>0</v>
      </c>
      <c r="AS24" s="337">
        <v>0</v>
      </c>
      <c r="AT24" s="337">
        <v>0</v>
      </c>
      <c r="AU24" s="425">
        <v>0</v>
      </c>
      <c r="AV24" s="337">
        <v>0</v>
      </c>
      <c r="AW24" s="337">
        <v>0</v>
      </c>
      <c r="AX24" s="337">
        <v>0</v>
      </c>
      <c r="AY24" s="425">
        <v>0</v>
      </c>
      <c r="AZ24" s="337">
        <v>0</v>
      </c>
      <c r="BA24" s="337">
        <v>0</v>
      </c>
      <c r="BB24" s="337">
        <v>0</v>
      </c>
      <c r="BC24" s="425">
        <v>0</v>
      </c>
      <c r="BD24" s="337">
        <v>0</v>
      </c>
      <c r="BE24" s="337">
        <v>0</v>
      </c>
      <c r="BF24" s="337">
        <v>0</v>
      </c>
    </row>
    <row r="25" spans="1:58" s="418" customFormat="1" ht="11.25">
      <c r="A25" s="508" t="s">
        <v>192</v>
      </c>
      <c r="B25" s="508" t="s">
        <v>20</v>
      </c>
      <c r="C25" s="425">
        <v>5598.6</v>
      </c>
      <c r="D25" s="337">
        <v>3868.4</v>
      </c>
      <c r="E25" s="337">
        <v>5592.2</v>
      </c>
      <c r="F25" s="337">
        <v>1810.2</v>
      </c>
      <c r="G25" s="425">
        <v>5212.3</v>
      </c>
      <c r="H25" s="337">
        <v>6024.8</v>
      </c>
      <c r="I25" s="337">
        <v>5153.5</v>
      </c>
      <c r="J25" s="338">
        <v>6015.9</v>
      </c>
      <c r="K25" s="425">
        <v>8073.1</v>
      </c>
      <c r="L25" s="337">
        <v>9535.2999999999993</v>
      </c>
      <c r="M25" s="337">
        <v>6355.9000000000005</v>
      </c>
      <c r="N25" s="338">
        <v>3927.8</v>
      </c>
      <c r="O25" s="425">
        <v>5359.0999999999995</v>
      </c>
      <c r="P25" s="337">
        <v>5121.8</v>
      </c>
      <c r="Q25" s="337">
        <v>3115.6000000000004</v>
      </c>
      <c r="R25" s="338">
        <v>3991</v>
      </c>
      <c r="S25" s="425">
        <v>10409.200000000001</v>
      </c>
      <c r="T25" s="337">
        <v>8913.5</v>
      </c>
      <c r="U25" s="337">
        <v>7573.3</v>
      </c>
      <c r="V25" s="338">
        <v>4917.2999999999993</v>
      </c>
      <c r="W25" s="337">
        <v>5381.4</v>
      </c>
      <c r="X25" s="337">
        <v>4079.3</v>
      </c>
      <c r="Y25" s="337">
        <v>4932.7</v>
      </c>
      <c r="Z25" s="338">
        <v>4513.7000000000007</v>
      </c>
      <c r="AA25" s="425">
        <v>4773.2999999999993</v>
      </c>
      <c r="AB25" s="337">
        <v>4139.6000000000004</v>
      </c>
      <c r="AC25" s="337">
        <v>4513.2</v>
      </c>
      <c r="AD25" s="338">
        <v>4609.8</v>
      </c>
      <c r="AE25" s="425">
        <v>10542.5</v>
      </c>
      <c r="AF25" s="337">
        <v>11859.5</v>
      </c>
      <c r="AG25" s="337">
        <v>7043.3</v>
      </c>
      <c r="AH25" s="338">
        <v>6123.4000000000005</v>
      </c>
      <c r="AI25" s="337">
        <v>5807.5000000000009</v>
      </c>
      <c r="AJ25" s="337">
        <v>8493</v>
      </c>
      <c r="AK25" s="337">
        <v>10917.1</v>
      </c>
      <c r="AL25" s="338">
        <v>3913.5</v>
      </c>
      <c r="AM25" s="337">
        <v>4236</v>
      </c>
      <c r="AN25" s="337">
        <v>5082.3</v>
      </c>
      <c r="AO25" s="337">
        <v>7032.5</v>
      </c>
      <c r="AP25" s="338">
        <v>5043</v>
      </c>
      <c r="AQ25" s="337">
        <v>5606.6</v>
      </c>
      <c r="AR25" s="337">
        <v>6140.5</v>
      </c>
      <c r="AS25" s="337">
        <v>5637.8</v>
      </c>
      <c r="AT25" s="337">
        <v>4109</v>
      </c>
      <c r="AU25" s="425">
        <v>6288.8</v>
      </c>
      <c r="AV25" s="337">
        <v>4882</v>
      </c>
      <c r="AW25" s="337">
        <v>6882.2</v>
      </c>
      <c r="AX25" s="337">
        <v>5195.8</v>
      </c>
      <c r="AY25" s="425">
        <v>5004.3</v>
      </c>
      <c r="AZ25" s="337">
        <v>7359.2</v>
      </c>
      <c r="BA25" s="337">
        <v>7593.0999999999995</v>
      </c>
      <c r="BB25" s="337">
        <v>6256.1</v>
      </c>
      <c r="BC25" s="425">
        <v>6624.3</v>
      </c>
      <c r="BD25" s="337">
        <v>4594.6000000000004</v>
      </c>
      <c r="BE25" s="337">
        <v>4883.1000000000004</v>
      </c>
      <c r="BF25" s="337">
        <v>8228</v>
      </c>
    </row>
    <row r="26" spans="1:58" s="418" customFormat="1" ht="22.5">
      <c r="A26" s="550" t="s">
        <v>193</v>
      </c>
      <c r="B26" s="550" t="s">
        <v>21</v>
      </c>
      <c r="C26" s="425">
        <v>5390.8</v>
      </c>
      <c r="D26" s="337">
        <v>4344.3999999999996</v>
      </c>
      <c r="E26" s="337">
        <v>2189.8000000000002</v>
      </c>
      <c r="F26" s="337">
        <v>1215</v>
      </c>
      <c r="G26" s="425">
        <v>4565.6000000000004</v>
      </c>
      <c r="H26" s="337">
        <v>1637.7</v>
      </c>
      <c r="I26" s="337">
        <v>3271.1000000000004</v>
      </c>
      <c r="J26" s="338">
        <v>5146.7000000000007</v>
      </c>
      <c r="K26" s="425">
        <v>3578.1</v>
      </c>
      <c r="L26" s="337">
        <v>3084.5</v>
      </c>
      <c r="M26" s="337">
        <v>5042</v>
      </c>
      <c r="N26" s="338">
        <v>2192</v>
      </c>
      <c r="O26" s="425">
        <v>3758.8999999999996</v>
      </c>
      <c r="P26" s="337">
        <v>3338.8</v>
      </c>
      <c r="Q26" s="337">
        <v>3782.6000000000004</v>
      </c>
      <c r="R26" s="338">
        <v>5974.0999999999995</v>
      </c>
      <c r="S26" s="425">
        <v>1430.5</v>
      </c>
      <c r="T26" s="337">
        <v>2582.5</v>
      </c>
      <c r="U26" s="337">
        <v>7236</v>
      </c>
      <c r="V26" s="338">
        <v>3508.8</v>
      </c>
      <c r="W26" s="337">
        <v>5621.3</v>
      </c>
      <c r="X26" s="337">
        <v>2966.4</v>
      </c>
      <c r="Y26" s="337">
        <v>4258.6000000000004</v>
      </c>
      <c r="Z26" s="338">
        <v>4781.5</v>
      </c>
      <c r="AA26" s="425">
        <v>3788.8</v>
      </c>
      <c r="AB26" s="337">
        <v>2509.5</v>
      </c>
      <c r="AC26" s="337">
        <v>2066.2000000000003</v>
      </c>
      <c r="AD26" s="338">
        <v>2727.2</v>
      </c>
      <c r="AE26" s="425">
        <v>2826.2</v>
      </c>
      <c r="AF26" s="337">
        <v>3055.2</v>
      </c>
      <c r="AG26" s="337">
        <v>4236.3999999999996</v>
      </c>
      <c r="AH26" s="338">
        <v>3439.0000000000005</v>
      </c>
      <c r="AI26" s="337">
        <v>3932.5</v>
      </c>
      <c r="AJ26" s="337">
        <v>2474.7999999999997</v>
      </c>
      <c r="AK26" s="337">
        <v>2971.5</v>
      </c>
      <c r="AL26" s="338">
        <v>2632.1000000000004</v>
      </c>
      <c r="AM26" s="337">
        <v>1845</v>
      </c>
      <c r="AN26" s="337">
        <v>1636.2</v>
      </c>
      <c r="AO26" s="337">
        <v>1700.5</v>
      </c>
      <c r="AP26" s="338">
        <v>1590.8</v>
      </c>
      <c r="AQ26" s="337">
        <v>1736.6</v>
      </c>
      <c r="AR26" s="337">
        <v>1154.3</v>
      </c>
      <c r="AS26" s="337">
        <v>2621.4</v>
      </c>
      <c r="AT26" s="337">
        <v>1903.2</v>
      </c>
      <c r="AU26" s="425">
        <v>1283.7</v>
      </c>
      <c r="AV26" s="337">
        <v>1565.6</v>
      </c>
      <c r="AW26" s="337">
        <v>1502.3000000000002</v>
      </c>
      <c r="AX26" s="337">
        <v>1687.6</v>
      </c>
      <c r="AY26" s="425">
        <v>1329.9</v>
      </c>
      <c r="AZ26" s="337">
        <v>1560.5</v>
      </c>
      <c r="BA26" s="337">
        <v>991.49999999999989</v>
      </c>
      <c r="BB26" s="337">
        <v>915.10000000000014</v>
      </c>
      <c r="BC26" s="425">
        <v>1027.6000000000001</v>
      </c>
      <c r="BD26" s="337">
        <v>617.20000000000005</v>
      </c>
      <c r="BE26" s="337">
        <v>696.9</v>
      </c>
      <c r="BF26" s="337">
        <v>1530.8</v>
      </c>
    </row>
    <row r="27" spans="1:58" s="534" customFormat="1" ht="11.25">
      <c r="A27" s="535" t="s">
        <v>179</v>
      </c>
      <c r="B27" s="535" t="s">
        <v>15</v>
      </c>
      <c r="C27" s="425">
        <v>0</v>
      </c>
      <c r="D27" s="337">
        <v>0</v>
      </c>
      <c r="E27" s="337">
        <v>0</v>
      </c>
      <c r="F27" s="337">
        <v>0</v>
      </c>
      <c r="G27" s="425">
        <v>10.1</v>
      </c>
      <c r="H27" s="337">
        <v>24.5</v>
      </c>
      <c r="I27" s="337">
        <v>110.8</v>
      </c>
      <c r="J27" s="338">
        <v>420</v>
      </c>
      <c r="K27" s="425">
        <v>610.9</v>
      </c>
      <c r="L27" s="337">
        <v>382.1</v>
      </c>
      <c r="M27" s="337">
        <v>493.7</v>
      </c>
      <c r="N27" s="338">
        <v>482.6</v>
      </c>
      <c r="O27" s="425">
        <v>557</v>
      </c>
      <c r="P27" s="337">
        <v>663.3</v>
      </c>
      <c r="Q27" s="337">
        <v>776</v>
      </c>
      <c r="R27" s="338">
        <v>600.4</v>
      </c>
      <c r="S27" s="425">
        <v>421.1</v>
      </c>
      <c r="T27" s="337">
        <v>427.5</v>
      </c>
      <c r="U27" s="337">
        <v>813.1</v>
      </c>
      <c r="V27" s="338">
        <v>900.6</v>
      </c>
      <c r="W27" s="337">
        <v>851.5</v>
      </c>
      <c r="X27" s="337">
        <v>871.7</v>
      </c>
      <c r="Y27" s="337">
        <v>1069</v>
      </c>
      <c r="Z27" s="338">
        <v>1364</v>
      </c>
      <c r="AA27" s="425">
        <v>1267.9000000000001</v>
      </c>
      <c r="AB27" s="337">
        <v>1082.3</v>
      </c>
      <c r="AC27" s="337">
        <v>1084.2</v>
      </c>
      <c r="AD27" s="338">
        <v>1114.4000000000001</v>
      </c>
      <c r="AE27" s="425">
        <v>1122.3</v>
      </c>
      <c r="AF27" s="337">
        <v>1251.7</v>
      </c>
      <c r="AG27" s="337">
        <v>1637.8</v>
      </c>
      <c r="AH27" s="338">
        <v>2032.8</v>
      </c>
      <c r="AI27" s="337">
        <v>2062.5</v>
      </c>
      <c r="AJ27" s="337">
        <v>1900.5</v>
      </c>
      <c r="AK27" s="337">
        <v>1842.8</v>
      </c>
      <c r="AL27" s="338">
        <v>1830.9</v>
      </c>
      <c r="AM27" s="337">
        <v>1818</v>
      </c>
      <c r="AN27" s="337">
        <v>1730.1</v>
      </c>
      <c r="AO27" s="337">
        <v>1614.3</v>
      </c>
      <c r="AP27" s="338">
        <v>1468.1</v>
      </c>
      <c r="AQ27" s="337">
        <v>1206.4000000000001</v>
      </c>
      <c r="AR27" s="337">
        <v>1015</v>
      </c>
      <c r="AS27" s="337">
        <v>799.9</v>
      </c>
      <c r="AT27" s="337">
        <v>699.2</v>
      </c>
      <c r="AU27" s="425">
        <v>622.6</v>
      </c>
      <c r="AV27" s="337">
        <v>677.7</v>
      </c>
      <c r="AW27" s="337">
        <v>574</v>
      </c>
      <c r="AX27" s="337">
        <v>611.79999999999995</v>
      </c>
      <c r="AY27" s="425">
        <v>727.4</v>
      </c>
      <c r="AZ27" s="337">
        <v>505.1</v>
      </c>
      <c r="BA27" s="337">
        <v>569.70000000000005</v>
      </c>
      <c r="BB27" s="337">
        <v>546</v>
      </c>
      <c r="BC27" s="425">
        <v>510.4</v>
      </c>
      <c r="BD27" s="337">
        <v>480.9</v>
      </c>
      <c r="BE27" s="337">
        <v>449.7</v>
      </c>
      <c r="BF27" s="337">
        <v>558.5</v>
      </c>
    </row>
    <row r="28" spans="1:58" s="534" customFormat="1" ht="11.25">
      <c r="A28" s="532" t="s">
        <v>194</v>
      </c>
      <c r="B28" s="532" t="s">
        <v>22</v>
      </c>
      <c r="C28" s="425">
        <v>40774.6</v>
      </c>
      <c r="D28" s="337">
        <v>40253.4</v>
      </c>
      <c r="E28" s="337">
        <v>40658.1</v>
      </c>
      <c r="F28" s="337">
        <v>44501.8</v>
      </c>
      <c r="G28" s="425">
        <v>45359.100000000006</v>
      </c>
      <c r="H28" s="337">
        <v>47651.4</v>
      </c>
      <c r="I28" s="337">
        <v>51303.5</v>
      </c>
      <c r="J28" s="338">
        <v>47111.9</v>
      </c>
      <c r="K28" s="425">
        <v>46583.4</v>
      </c>
      <c r="L28" s="337">
        <v>45927.9</v>
      </c>
      <c r="M28" s="337">
        <v>46520</v>
      </c>
      <c r="N28" s="338">
        <v>47630.7</v>
      </c>
      <c r="O28" s="425">
        <v>46197.299999999996</v>
      </c>
      <c r="P28" s="337">
        <v>46022.6</v>
      </c>
      <c r="Q28" s="337">
        <v>47701.599999999999</v>
      </c>
      <c r="R28" s="338">
        <v>47448.200000000004</v>
      </c>
      <c r="S28" s="425">
        <v>46487.900000000009</v>
      </c>
      <c r="T28" s="337">
        <v>48310.7</v>
      </c>
      <c r="U28" s="337">
        <v>50782.5</v>
      </c>
      <c r="V28" s="338">
        <v>52976.69999999999</v>
      </c>
      <c r="W28" s="337">
        <v>52465.499999999993</v>
      </c>
      <c r="X28" s="337">
        <v>54186.000000000007</v>
      </c>
      <c r="Y28" s="337">
        <v>54896.2</v>
      </c>
      <c r="Z28" s="338">
        <v>57898.399999999994</v>
      </c>
      <c r="AA28" s="425">
        <v>58126.799999999996</v>
      </c>
      <c r="AB28" s="337">
        <v>64159.100000000006</v>
      </c>
      <c r="AC28" s="337">
        <v>66911.399999999994</v>
      </c>
      <c r="AD28" s="338">
        <v>67981.399999999994</v>
      </c>
      <c r="AE28" s="425">
        <v>67036.3</v>
      </c>
      <c r="AF28" s="337">
        <v>70975.3</v>
      </c>
      <c r="AG28" s="337">
        <v>71979.60000000002</v>
      </c>
      <c r="AH28" s="338">
        <v>75688.599999999991</v>
      </c>
      <c r="AI28" s="337">
        <v>77661.500000000015</v>
      </c>
      <c r="AJ28" s="337">
        <v>80755.099999999991</v>
      </c>
      <c r="AK28" s="337">
        <v>83830</v>
      </c>
      <c r="AL28" s="338">
        <v>87866</v>
      </c>
      <c r="AM28" s="337">
        <v>90413.4</v>
      </c>
      <c r="AN28" s="337">
        <v>93492.400000000009</v>
      </c>
      <c r="AO28" s="337">
        <v>92304.6</v>
      </c>
      <c r="AP28" s="338">
        <v>95825.4</v>
      </c>
      <c r="AQ28" s="337">
        <v>96620.7</v>
      </c>
      <c r="AR28" s="337">
        <v>97708.800000000003</v>
      </c>
      <c r="AS28" s="337">
        <v>98459.8</v>
      </c>
      <c r="AT28" s="337">
        <v>104503.3</v>
      </c>
      <c r="AU28" s="425">
        <v>104662.1</v>
      </c>
      <c r="AV28" s="337">
        <v>109174.1</v>
      </c>
      <c r="AW28" s="337">
        <v>110205</v>
      </c>
      <c r="AX28" s="337">
        <v>117682.5</v>
      </c>
      <c r="AY28" s="425">
        <v>120414</v>
      </c>
      <c r="AZ28" s="337">
        <v>122992</v>
      </c>
      <c r="BA28" s="337">
        <v>125786.3</v>
      </c>
      <c r="BB28" s="337">
        <v>130473.5</v>
      </c>
      <c r="BC28" s="425">
        <v>139648.70000000001</v>
      </c>
      <c r="BD28" s="337">
        <v>150979.29999999999</v>
      </c>
      <c r="BE28" s="337">
        <v>154399.79999999999</v>
      </c>
      <c r="BF28" s="337">
        <v>151028.5</v>
      </c>
    </row>
    <row r="29" spans="1:58" s="534" customFormat="1" ht="11.25">
      <c r="A29" s="535" t="s">
        <v>402</v>
      </c>
      <c r="B29" s="535" t="s">
        <v>401</v>
      </c>
      <c r="C29" s="425">
        <v>0</v>
      </c>
      <c r="D29" s="337">
        <v>0</v>
      </c>
      <c r="E29" s="337">
        <v>0</v>
      </c>
      <c r="F29" s="337">
        <v>0</v>
      </c>
      <c r="G29" s="425">
        <v>0</v>
      </c>
      <c r="H29" s="337">
        <v>0</v>
      </c>
      <c r="I29" s="337">
        <v>0</v>
      </c>
      <c r="J29" s="338">
        <v>0</v>
      </c>
      <c r="K29" s="425">
        <v>0</v>
      </c>
      <c r="L29" s="337">
        <v>0</v>
      </c>
      <c r="M29" s="337">
        <v>0</v>
      </c>
      <c r="N29" s="338">
        <v>0</v>
      </c>
      <c r="O29" s="425">
        <v>0</v>
      </c>
      <c r="P29" s="337">
        <v>0</v>
      </c>
      <c r="Q29" s="337">
        <v>0</v>
      </c>
      <c r="R29" s="338">
        <v>0</v>
      </c>
      <c r="S29" s="425">
        <v>0</v>
      </c>
      <c r="T29" s="337">
        <v>0</v>
      </c>
      <c r="U29" s="337">
        <v>0</v>
      </c>
      <c r="V29" s="338">
        <v>0</v>
      </c>
      <c r="W29" s="337">
        <v>0</v>
      </c>
      <c r="X29" s="337">
        <v>0</v>
      </c>
      <c r="Y29" s="337">
        <v>0</v>
      </c>
      <c r="Z29" s="338">
        <v>567.1</v>
      </c>
      <c r="AA29" s="425">
        <v>574.5</v>
      </c>
      <c r="AB29" s="337">
        <v>566.4</v>
      </c>
      <c r="AC29" s="337">
        <v>571.5</v>
      </c>
      <c r="AD29" s="338">
        <v>566.4</v>
      </c>
      <c r="AE29" s="425">
        <v>571.4</v>
      </c>
      <c r="AF29" s="337">
        <v>566.4</v>
      </c>
      <c r="AG29" s="337">
        <v>571.6</v>
      </c>
      <c r="AH29" s="338">
        <v>866.5</v>
      </c>
      <c r="AI29" s="337">
        <v>872.7</v>
      </c>
      <c r="AJ29" s="337">
        <v>866.3</v>
      </c>
      <c r="AK29" s="337">
        <v>872</v>
      </c>
      <c r="AL29" s="338">
        <v>866.3</v>
      </c>
      <c r="AM29" s="337">
        <v>872</v>
      </c>
      <c r="AN29" s="337">
        <v>866.3</v>
      </c>
      <c r="AO29" s="337">
        <v>871.9</v>
      </c>
      <c r="AP29" s="338">
        <v>866.4</v>
      </c>
      <c r="AQ29" s="337">
        <v>872</v>
      </c>
      <c r="AR29" s="337">
        <v>866.3</v>
      </c>
      <c r="AS29" s="337">
        <v>872.1</v>
      </c>
      <c r="AT29" s="337">
        <v>300.3</v>
      </c>
      <c r="AU29" s="425">
        <v>302.2</v>
      </c>
      <c r="AV29" s="337">
        <v>300.2</v>
      </c>
      <c r="AW29" s="337">
        <v>302.2</v>
      </c>
      <c r="AX29" s="337">
        <v>300.3</v>
      </c>
      <c r="AY29" s="425">
        <v>302.2</v>
      </c>
      <c r="AZ29" s="337">
        <v>300.2</v>
      </c>
      <c r="BA29" s="337">
        <v>302.2</v>
      </c>
      <c r="BB29" s="337">
        <v>399.7</v>
      </c>
      <c r="BC29" s="425">
        <v>397.6</v>
      </c>
      <c r="BD29" s="337">
        <v>395.4</v>
      </c>
      <c r="BE29" s="337">
        <v>397.3</v>
      </c>
      <c r="BF29" s="337">
        <v>1370.5</v>
      </c>
    </row>
    <row r="30" spans="1:58" s="418" customFormat="1" ht="11.25">
      <c r="A30" s="532" t="s">
        <v>534</v>
      </c>
      <c r="B30" s="532" t="s">
        <v>531</v>
      </c>
      <c r="C30" s="425">
        <v>0</v>
      </c>
      <c r="D30" s="337">
        <v>0</v>
      </c>
      <c r="E30" s="337">
        <v>0</v>
      </c>
      <c r="F30" s="337">
        <v>0</v>
      </c>
      <c r="G30" s="425">
        <v>0</v>
      </c>
      <c r="H30" s="337">
        <v>0</v>
      </c>
      <c r="I30" s="337">
        <v>0</v>
      </c>
      <c r="J30" s="338">
        <v>0</v>
      </c>
      <c r="K30" s="425">
        <v>0</v>
      </c>
      <c r="L30" s="337">
        <v>0</v>
      </c>
      <c r="M30" s="337">
        <v>0</v>
      </c>
      <c r="N30" s="338">
        <v>0</v>
      </c>
      <c r="O30" s="425">
        <v>0</v>
      </c>
      <c r="P30" s="337">
        <v>0</v>
      </c>
      <c r="Q30" s="337">
        <v>0</v>
      </c>
      <c r="R30" s="338">
        <v>0</v>
      </c>
      <c r="S30" s="425">
        <v>0</v>
      </c>
      <c r="T30" s="337">
        <v>0</v>
      </c>
      <c r="U30" s="337">
        <v>0</v>
      </c>
      <c r="V30" s="338">
        <v>0</v>
      </c>
      <c r="W30" s="337">
        <v>0</v>
      </c>
      <c r="X30" s="337">
        <v>0</v>
      </c>
      <c r="Y30" s="337">
        <v>0</v>
      </c>
      <c r="Z30" s="338">
        <v>0</v>
      </c>
      <c r="AA30" s="425">
        <v>0</v>
      </c>
      <c r="AB30" s="337">
        <v>0</v>
      </c>
      <c r="AC30" s="337">
        <v>0</v>
      </c>
      <c r="AD30" s="338">
        <v>0</v>
      </c>
      <c r="AE30" s="425">
        <v>0</v>
      </c>
      <c r="AF30" s="337">
        <v>0</v>
      </c>
      <c r="AG30" s="337">
        <v>0</v>
      </c>
      <c r="AH30" s="338">
        <v>0</v>
      </c>
      <c r="AI30" s="337">
        <v>0</v>
      </c>
      <c r="AJ30" s="337">
        <v>0</v>
      </c>
      <c r="AK30" s="337">
        <v>0</v>
      </c>
      <c r="AL30" s="338">
        <v>0</v>
      </c>
      <c r="AM30" s="337">
        <v>641.6</v>
      </c>
      <c r="AN30" s="337">
        <v>665.2</v>
      </c>
      <c r="AO30" s="337">
        <v>648.1</v>
      </c>
      <c r="AP30" s="338">
        <v>664.9</v>
      </c>
      <c r="AQ30" s="337">
        <v>634.20000000000005</v>
      </c>
      <c r="AR30" s="337">
        <v>635.29999999999995</v>
      </c>
      <c r="AS30" s="337">
        <v>647.70000000000005</v>
      </c>
      <c r="AT30" s="337">
        <v>626.9</v>
      </c>
      <c r="AU30" s="425">
        <v>632.4</v>
      </c>
      <c r="AV30" s="337">
        <v>655.6</v>
      </c>
      <c r="AW30" s="337">
        <v>641.9</v>
      </c>
      <c r="AX30" s="337">
        <v>1076.9000000000001</v>
      </c>
      <c r="AY30" s="425">
        <v>1077.2</v>
      </c>
      <c r="AZ30" s="337">
        <v>1065</v>
      </c>
      <c r="BA30" s="337">
        <v>2188.6999999999998</v>
      </c>
      <c r="BB30" s="337">
        <v>2131.1</v>
      </c>
      <c r="BC30" s="425">
        <v>2278.1</v>
      </c>
      <c r="BD30" s="337">
        <v>2235.1</v>
      </c>
      <c r="BE30" s="337">
        <v>2265.1999999999998</v>
      </c>
      <c r="BF30" s="337">
        <v>2309.1999999999998</v>
      </c>
    </row>
    <row r="31" spans="1:58" s="534" customFormat="1" ht="11.25">
      <c r="A31" s="535" t="s">
        <v>195</v>
      </c>
      <c r="B31" s="535" t="s">
        <v>23</v>
      </c>
      <c r="C31" s="425">
        <v>82</v>
      </c>
      <c r="D31" s="337">
        <v>83</v>
      </c>
      <c r="E31" s="337">
        <v>75.900000000000006</v>
      </c>
      <c r="F31" s="337">
        <v>72.5</v>
      </c>
      <c r="G31" s="425">
        <v>69.3</v>
      </c>
      <c r="H31" s="337">
        <v>55.6</v>
      </c>
      <c r="I31" s="337">
        <v>62.7</v>
      </c>
      <c r="J31" s="338">
        <v>50.6</v>
      </c>
      <c r="K31" s="425">
        <v>57.3</v>
      </c>
      <c r="L31" s="337">
        <v>49</v>
      </c>
      <c r="M31" s="337">
        <v>49.7</v>
      </c>
      <c r="N31" s="338">
        <v>55.2</v>
      </c>
      <c r="O31" s="425">
        <v>48.3</v>
      </c>
      <c r="P31" s="337">
        <v>46.5</v>
      </c>
      <c r="Q31" s="337">
        <v>49.8</v>
      </c>
      <c r="R31" s="338">
        <v>55.8</v>
      </c>
      <c r="S31" s="425">
        <v>54</v>
      </c>
      <c r="T31" s="337">
        <v>66.900000000000006</v>
      </c>
      <c r="U31" s="337">
        <v>52.8</v>
      </c>
      <c r="V31" s="338">
        <v>58.1</v>
      </c>
      <c r="W31" s="337">
        <v>64.599999999999994</v>
      </c>
      <c r="X31" s="337">
        <v>64.2</v>
      </c>
      <c r="Y31" s="337">
        <v>65.400000000000006</v>
      </c>
      <c r="Z31" s="338">
        <v>72.8</v>
      </c>
      <c r="AA31" s="425">
        <v>73.899999999999991</v>
      </c>
      <c r="AB31" s="337">
        <v>77.600000000000009</v>
      </c>
      <c r="AC31" s="337">
        <v>67.3</v>
      </c>
      <c r="AD31" s="338">
        <v>67.799999999999983</v>
      </c>
      <c r="AE31" s="425">
        <v>68.900000000000006</v>
      </c>
      <c r="AF31" s="337">
        <v>71.099999999999994</v>
      </c>
      <c r="AG31" s="337">
        <v>71.699999999999989</v>
      </c>
      <c r="AH31" s="338">
        <v>74.8</v>
      </c>
      <c r="AI31" s="337">
        <v>70.59999999999998</v>
      </c>
      <c r="AJ31" s="337">
        <v>69.5</v>
      </c>
      <c r="AK31" s="337">
        <v>70.3</v>
      </c>
      <c r="AL31" s="338">
        <v>67.2</v>
      </c>
      <c r="AM31" s="337">
        <v>82.7</v>
      </c>
      <c r="AN31" s="337">
        <v>82</v>
      </c>
      <c r="AO31" s="337">
        <v>79.8</v>
      </c>
      <c r="AP31" s="338">
        <v>60.3</v>
      </c>
      <c r="AQ31" s="337">
        <v>59.400000000000006</v>
      </c>
      <c r="AR31" s="337">
        <v>69.5</v>
      </c>
      <c r="AS31" s="337">
        <v>77.3</v>
      </c>
      <c r="AT31" s="337">
        <v>108.8</v>
      </c>
      <c r="AU31" s="425">
        <v>115.60000000000001</v>
      </c>
      <c r="AV31" s="337">
        <v>125.1</v>
      </c>
      <c r="AW31" s="337">
        <v>164.9</v>
      </c>
      <c r="AX31" s="337">
        <v>152.4</v>
      </c>
      <c r="AY31" s="425">
        <v>152.19999999999999</v>
      </c>
      <c r="AZ31" s="337">
        <v>158.69999999999999</v>
      </c>
      <c r="BA31" s="337">
        <v>227.9</v>
      </c>
      <c r="BB31" s="337">
        <v>205.7</v>
      </c>
      <c r="BC31" s="425">
        <v>186.3</v>
      </c>
      <c r="BD31" s="337">
        <v>203</v>
      </c>
      <c r="BE31" s="337">
        <v>196.1</v>
      </c>
      <c r="BF31" s="337">
        <v>256.3</v>
      </c>
    </row>
    <row r="32" spans="1:58" s="418" customFormat="1" ht="11.25">
      <c r="A32" s="532" t="s">
        <v>197</v>
      </c>
      <c r="B32" s="532" t="s">
        <v>581</v>
      </c>
      <c r="C32" s="425">
        <v>0</v>
      </c>
      <c r="D32" s="337">
        <v>0</v>
      </c>
      <c r="E32" s="337">
        <v>0</v>
      </c>
      <c r="F32" s="337">
        <v>0</v>
      </c>
      <c r="G32" s="425">
        <v>0</v>
      </c>
      <c r="H32" s="337">
        <v>0</v>
      </c>
      <c r="I32" s="337">
        <v>0</v>
      </c>
      <c r="J32" s="338">
        <v>0</v>
      </c>
      <c r="K32" s="425">
        <v>0</v>
      </c>
      <c r="L32" s="337">
        <v>55.6</v>
      </c>
      <c r="M32" s="337">
        <v>0</v>
      </c>
      <c r="N32" s="338">
        <v>0</v>
      </c>
      <c r="O32" s="425">
        <v>0</v>
      </c>
      <c r="P32" s="337">
        <v>0</v>
      </c>
      <c r="Q32" s="337">
        <v>0</v>
      </c>
      <c r="R32" s="338">
        <v>0</v>
      </c>
      <c r="S32" s="425">
        <v>0</v>
      </c>
      <c r="T32" s="337">
        <v>0</v>
      </c>
      <c r="U32" s="337">
        <v>0</v>
      </c>
      <c r="V32" s="338">
        <v>0</v>
      </c>
      <c r="W32" s="337">
        <v>1.5</v>
      </c>
      <c r="X32" s="337">
        <v>1.8</v>
      </c>
      <c r="Y32" s="337">
        <v>2.3000000000000003</v>
      </c>
      <c r="Z32" s="338">
        <v>29</v>
      </c>
      <c r="AA32" s="425">
        <v>2.5</v>
      </c>
      <c r="AB32" s="337">
        <v>2.6</v>
      </c>
      <c r="AC32" s="337">
        <v>2.7</v>
      </c>
      <c r="AD32" s="338">
        <v>2.2999999999999998</v>
      </c>
      <c r="AE32" s="425">
        <v>2.5</v>
      </c>
      <c r="AF32" s="337">
        <v>138.9</v>
      </c>
      <c r="AG32" s="337">
        <v>254</v>
      </c>
      <c r="AH32" s="338">
        <v>234.79999999999998</v>
      </c>
      <c r="AI32" s="337">
        <v>246.99999999999997</v>
      </c>
      <c r="AJ32" s="337">
        <v>0</v>
      </c>
      <c r="AK32" s="337">
        <v>92.9</v>
      </c>
      <c r="AL32" s="338">
        <v>132</v>
      </c>
      <c r="AM32" s="337">
        <v>218.3</v>
      </c>
      <c r="AN32" s="337">
        <v>94.5</v>
      </c>
      <c r="AO32" s="337">
        <v>36.4</v>
      </c>
      <c r="AP32" s="338">
        <v>121.3</v>
      </c>
      <c r="AQ32" s="337">
        <v>24.1</v>
      </c>
      <c r="AR32" s="337">
        <v>121.4</v>
      </c>
      <c r="AS32" s="337">
        <v>181.1</v>
      </c>
      <c r="AT32" s="337">
        <v>232.9</v>
      </c>
      <c r="AU32" s="425">
        <v>244.8</v>
      </c>
      <c r="AV32" s="337">
        <v>68.3</v>
      </c>
      <c r="AW32" s="337">
        <v>53.8</v>
      </c>
      <c r="AX32" s="337">
        <v>280.3</v>
      </c>
      <c r="AY32" s="425">
        <v>345.4</v>
      </c>
      <c r="AZ32" s="337">
        <v>212.3</v>
      </c>
      <c r="BA32" s="337">
        <v>389</v>
      </c>
      <c r="BB32" s="337">
        <v>381.3</v>
      </c>
      <c r="BC32" s="425">
        <v>700.3</v>
      </c>
      <c r="BD32" s="337">
        <v>426.2</v>
      </c>
      <c r="BE32" s="337">
        <v>445.20000000000005</v>
      </c>
      <c r="BF32" s="337">
        <v>389.6</v>
      </c>
    </row>
    <row r="33" spans="1:58" s="418" customFormat="1" ht="11.25">
      <c r="A33" s="532" t="s">
        <v>196</v>
      </c>
      <c r="B33" s="532" t="s">
        <v>582</v>
      </c>
      <c r="C33" s="425">
        <v>66.3</v>
      </c>
      <c r="D33" s="337">
        <v>51</v>
      </c>
      <c r="E33" s="337">
        <v>4.5999999999999996</v>
      </c>
      <c r="F33" s="337">
        <v>0.1</v>
      </c>
      <c r="G33" s="425">
        <v>0.2</v>
      </c>
      <c r="H33" s="337">
        <v>53.6</v>
      </c>
      <c r="I33" s="337">
        <v>46.6</v>
      </c>
      <c r="J33" s="338">
        <v>39.1</v>
      </c>
      <c r="K33" s="425">
        <v>0</v>
      </c>
      <c r="L33" s="337">
        <v>0.1</v>
      </c>
      <c r="M33" s="337">
        <v>101.1</v>
      </c>
      <c r="N33" s="338">
        <v>156.1</v>
      </c>
      <c r="O33" s="425">
        <v>19.8</v>
      </c>
      <c r="P33" s="337">
        <v>55.4</v>
      </c>
      <c r="Q33" s="337">
        <v>60.5</v>
      </c>
      <c r="R33" s="338">
        <v>138.5</v>
      </c>
      <c r="S33" s="425">
        <v>0</v>
      </c>
      <c r="T33" s="337">
        <v>0.6</v>
      </c>
      <c r="U33" s="337">
        <v>0.4</v>
      </c>
      <c r="V33" s="338">
        <v>0</v>
      </c>
      <c r="W33" s="337">
        <v>2.2000000000000002</v>
      </c>
      <c r="X33" s="337">
        <v>25.200000000000003</v>
      </c>
      <c r="Y33" s="337">
        <v>12.699999999999998</v>
      </c>
      <c r="Z33" s="338">
        <v>74</v>
      </c>
      <c r="AA33" s="425">
        <v>95.199999999999989</v>
      </c>
      <c r="AB33" s="337">
        <v>17.400000000000006</v>
      </c>
      <c r="AC33" s="337">
        <v>39.5</v>
      </c>
      <c r="AD33" s="338">
        <v>109.4</v>
      </c>
      <c r="AE33" s="425">
        <v>1.2</v>
      </c>
      <c r="AF33" s="337">
        <v>5.1000000000000005</v>
      </c>
      <c r="AG33" s="337">
        <v>0.5</v>
      </c>
      <c r="AH33" s="338">
        <v>30.8</v>
      </c>
      <c r="AI33" s="337">
        <v>0.3</v>
      </c>
      <c r="AJ33" s="337">
        <v>10.199999999999999</v>
      </c>
      <c r="AK33" s="337">
        <v>30</v>
      </c>
      <c r="AL33" s="338">
        <v>24.8</v>
      </c>
      <c r="AM33" s="337">
        <v>3.4</v>
      </c>
      <c r="AN33" s="337">
        <v>86.9</v>
      </c>
      <c r="AO33" s="337">
        <v>110.4</v>
      </c>
      <c r="AP33" s="338">
        <v>0</v>
      </c>
      <c r="AQ33" s="337">
        <v>0</v>
      </c>
      <c r="AR33" s="337">
        <v>0</v>
      </c>
      <c r="AS33" s="337">
        <v>0</v>
      </c>
      <c r="AT33" s="337">
        <v>0</v>
      </c>
      <c r="AU33" s="425">
        <v>0</v>
      </c>
      <c r="AV33" s="337">
        <v>0</v>
      </c>
      <c r="AW33" s="337">
        <v>0</v>
      </c>
      <c r="AX33" s="337">
        <v>0</v>
      </c>
      <c r="AY33" s="425">
        <v>0</v>
      </c>
      <c r="AZ33" s="337">
        <v>0</v>
      </c>
      <c r="BA33" s="337">
        <v>0</v>
      </c>
      <c r="BB33" s="337">
        <v>0</v>
      </c>
      <c r="BC33" s="425">
        <v>5.2</v>
      </c>
      <c r="BD33" s="337">
        <v>5.3</v>
      </c>
      <c r="BE33" s="337">
        <v>5.3</v>
      </c>
      <c r="BF33" s="337">
        <v>0</v>
      </c>
    </row>
    <row r="34" spans="1:58" s="534" customFormat="1" ht="11.25">
      <c r="A34" s="535" t="s">
        <v>198</v>
      </c>
      <c r="B34" s="535" t="s">
        <v>24</v>
      </c>
      <c r="C34" s="425">
        <v>776.4</v>
      </c>
      <c r="D34" s="337">
        <v>952</v>
      </c>
      <c r="E34" s="337">
        <v>903.9</v>
      </c>
      <c r="F34" s="337">
        <v>570.70000000000005</v>
      </c>
      <c r="G34" s="425">
        <v>1002.4</v>
      </c>
      <c r="H34" s="337">
        <v>1086.3</v>
      </c>
      <c r="I34" s="337">
        <v>1034.7</v>
      </c>
      <c r="J34" s="338">
        <v>669.7</v>
      </c>
      <c r="K34" s="425">
        <v>999.7</v>
      </c>
      <c r="L34" s="337">
        <v>965.1</v>
      </c>
      <c r="M34" s="337">
        <v>949.6</v>
      </c>
      <c r="N34" s="338">
        <v>552.29999999999995</v>
      </c>
      <c r="O34" s="425">
        <v>1024.7</v>
      </c>
      <c r="P34" s="337">
        <v>1052.1000000000001</v>
      </c>
      <c r="Q34" s="337">
        <v>1147.5</v>
      </c>
      <c r="R34" s="338">
        <v>656.4</v>
      </c>
      <c r="S34" s="425">
        <v>1252.8</v>
      </c>
      <c r="T34" s="337">
        <v>1245.4000000000001</v>
      </c>
      <c r="U34" s="337">
        <v>1041.0999999999999</v>
      </c>
      <c r="V34" s="338">
        <v>945.9</v>
      </c>
      <c r="W34" s="337">
        <v>1121.7</v>
      </c>
      <c r="X34" s="337">
        <v>1084.3999999999999</v>
      </c>
      <c r="Y34" s="337">
        <v>973.69999999999993</v>
      </c>
      <c r="Z34" s="338">
        <v>830.2</v>
      </c>
      <c r="AA34" s="425">
        <v>812.1</v>
      </c>
      <c r="AB34" s="337">
        <v>1102.6000000000004</v>
      </c>
      <c r="AC34" s="337">
        <v>1112</v>
      </c>
      <c r="AD34" s="338">
        <v>943.3</v>
      </c>
      <c r="AE34" s="425">
        <v>1185.5000000000005</v>
      </c>
      <c r="AF34" s="337">
        <v>1177.5</v>
      </c>
      <c r="AG34" s="337">
        <v>1119.3999999999999</v>
      </c>
      <c r="AH34" s="338">
        <v>913.39999999999975</v>
      </c>
      <c r="AI34" s="337">
        <v>1681.6000000000001</v>
      </c>
      <c r="AJ34" s="337">
        <v>1190.8</v>
      </c>
      <c r="AK34" s="337">
        <v>1249.7</v>
      </c>
      <c r="AL34" s="338">
        <v>879.80000000000007</v>
      </c>
      <c r="AM34" s="337">
        <v>1932.1</v>
      </c>
      <c r="AN34" s="337">
        <v>1091.2</v>
      </c>
      <c r="AO34" s="337">
        <v>1172.5</v>
      </c>
      <c r="AP34" s="338">
        <v>1360.3</v>
      </c>
      <c r="AQ34" s="337">
        <v>1301.0999999999999</v>
      </c>
      <c r="AR34" s="337">
        <v>1332.4</v>
      </c>
      <c r="AS34" s="337">
        <v>1506.7</v>
      </c>
      <c r="AT34" s="337">
        <v>1953.9</v>
      </c>
      <c r="AU34" s="425">
        <v>1338</v>
      </c>
      <c r="AV34" s="337">
        <v>1718</v>
      </c>
      <c r="AW34" s="337">
        <v>1910.1999999999998</v>
      </c>
      <c r="AX34" s="337">
        <v>1503.7</v>
      </c>
      <c r="AY34" s="425">
        <v>2951.5</v>
      </c>
      <c r="AZ34" s="337">
        <v>2536.3000000000002</v>
      </c>
      <c r="BA34" s="337">
        <v>2702.7</v>
      </c>
      <c r="BB34" s="337">
        <v>2078.9</v>
      </c>
      <c r="BC34" s="425">
        <v>2522.1</v>
      </c>
      <c r="BD34" s="337">
        <v>2466.8000000000002</v>
      </c>
      <c r="BE34" s="337">
        <v>2525.1</v>
      </c>
      <c r="BF34" s="337">
        <v>2306</v>
      </c>
    </row>
    <row r="35" spans="1:58" s="176" customFormat="1" ht="11.25">
      <c r="A35" s="51" t="s">
        <v>199</v>
      </c>
      <c r="B35" s="51" t="s">
        <v>25</v>
      </c>
      <c r="C35" s="37">
        <f t="shared" ref="C35:AP35" si="7">SUM(C24:C34)</f>
        <v>52688.700000000004</v>
      </c>
      <c r="D35" s="38">
        <f t="shared" si="7"/>
        <v>49552.2</v>
      </c>
      <c r="E35" s="38">
        <f t="shared" si="7"/>
        <v>49424.5</v>
      </c>
      <c r="F35" s="38">
        <f t="shared" si="7"/>
        <v>48170.299999999996</v>
      </c>
      <c r="G35" s="37">
        <f t="shared" si="7"/>
        <v>56219.000000000007</v>
      </c>
      <c r="H35" s="38">
        <f t="shared" si="7"/>
        <v>56533.9</v>
      </c>
      <c r="I35" s="38">
        <f t="shared" si="7"/>
        <v>60982.899999999994</v>
      </c>
      <c r="J35" s="38">
        <f t="shared" si="7"/>
        <v>65386</v>
      </c>
      <c r="K35" s="37">
        <f t="shared" si="7"/>
        <v>63922.600000000006</v>
      </c>
      <c r="L35" s="38">
        <f t="shared" si="7"/>
        <v>59999.6</v>
      </c>
      <c r="M35" s="38">
        <f t="shared" si="7"/>
        <v>59512</v>
      </c>
      <c r="N35" s="38">
        <f t="shared" si="7"/>
        <v>54996.7</v>
      </c>
      <c r="O35" s="37">
        <f t="shared" si="7"/>
        <v>56965.1</v>
      </c>
      <c r="P35" s="38">
        <f t="shared" si="7"/>
        <v>56300.5</v>
      </c>
      <c r="Q35" s="38">
        <f t="shared" si="7"/>
        <v>56633.600000000006</v>
      </c>
      <c r="R35" s="38">
        <f t="shared" si="7"/>
        <v>58864.400000000009</v>
      </c>
      <c r="S35" s="37">
        <f t="shared" si="7"/>
        <v>60055.500000000015</v>
      </c>
      <c r="T35" s="38">
        <f t="shared" si="7"/>
        <v>61547.1</v>
      </c>
      <c r="U35" s="38">
        <f t="shared" si="7"/>
        <v>67499.199999999997</v>
      </c>
      <c r="V35" s="38">
        <f t="shared" si="7"/>
        <v>63307.399999999987</v>
      </c>
      <c r="W35" s="38">
        <f t="shared" si="7"/>
        <v>65509.69999999999</v>
      </c>
      <c r="X35" s="38">
        <f t="shared" si="7"/>
        <v>63279.000000000007</v>
      </c>
      <c r="Y35" s="38">
        <f t="shared" si="7"/>
        <v>66210.600000000006</v>
      </c>
      <c r="Z35" s="39">
        <f t="shared" si="7"/>
        <v>70130.7</v>
      </c>
      <c r="AA35" s="37">
        <f t="shared" si="7"/>
        <v>69514.999999999985</v>
      </c>
      <c r="AB35" s="38">
        <f t="shared" si="7"/>
        <v>73657.100000000006</v>
      </c>
      <c r="AC35" s="38">
        <f t="shared" si="7"/>
        <v>76368</v>
      </c>
      <c r="AD35" s="39">
        <f t="shared" si="7"/>
        <v>78121.999999999985</v>
      </c>
      <c r="AE35" s="37">
        <f t="shared" si="7"/>
        <v>83356.799999999988</v>
      </c>
      <c r="AF35" s="38">
        <f t="shared" si="7"/>
        <v>89100.700000000012</v>
      </c>
      <c r="AG35" s="38">
        <f t="shared" si="7"/>
        <v>86914.300000000017</v>
      </c>
      <c r="AH35" s="39">
        <f t="shared" si="7"/>
        <v>89404.099999999991</v>
      </c>
      <c r="AI35" s="38">
        <f t="shared" si="7"/>
        <v>92336.200000000026</v>
      </c>
      <c r="AJ35" s="38">
        <f t="shared" si="7"/>
        <v>95760.2</v>
      </c>
      <c r="AK35" s="38">
        <f t="shared" si="7"/>
        <v>101876.29999999999</v>
      </c>
      <c r="AL35" s="39">
        <f t="shared" si="7"/>
        <v>98212.6</v>
      </c>
      <c r="AM35" s="38">
        <f t="shared" si="7"/>
        <v>102062.5</v>
      </c>
      <c r="AN35" s="38">
        <f t="shared" si="7"/>
        <v>104827.1</v>
      </c>
      <c r="AO35" s="38">
        <f t="shared" si="7"/>
        <v>105571</v>
      </c>
      <c r="AP35" s="39">
        <f t="shared" si="7"/>
        <v>107000.49999999999</v>
      </c>
      <c r="AQ35" s="38">
        <f t="shared" ref="AQ35:AY35" si="8">SUM(AQ24:AQ34)</f>
        <v>108061.1</v>
      </c>
      <c r="AR35" s="38">
        <f t="shared" si="8"/>
        <v>109043.5</v>
      </c>
      <c r="AS35" s="38">
        <f t="shared" si="8"/>
        <v>110803.80000000002</v>
      </c>
      <c r="AT35" s="38">
        <f t="shared" si="8"/>
        <v>114437.49999999999</v>
      </c>
      <c r="AU35" s="37">
        <f t="shared" si="8"/>
        <v>115490.20000000001</v>
      </c>
      <c r="AV35" s="38">
        <f t="shared" si="8"/>
        <v>119166.60000000002</v>
      </c>
      <c r="AW35" s="38">
        <f t="shared" si="8"/>
        <v>122236.49999999999</v>
      </c>
      <c r="AX35" s="38">
        <f t="shared" si="8"/>
        <v>128491.29999999999</v>
      </c>
      <c r="AY35" s="37">
        <f t="shared" si="8"/>
        <v>132304.09999999998</v>
      </c>
      <c r="AZ35" s="38">
        <f t="shared" ref="AZ35:BA35" si="9">SUM(AZ24:AZ34)</f>
        <v>136689.29999999999</v>
      </c>
      <c r="BA35" s="38">
        <f t="shared" si="9"/>
        <v>140751.10000000003</v>
      </c>
      <c r="BB35" s="38">
        <f t="shared" ref="BB35:BC35" si="10">SUM(BB24:BB34)</f>
        <v>143387.40000000002</v>
      </c>
      <c r="BC35" s="37">
        <f t="shared" si="10"/>
        <v>153900.6</v>
      </c>
      <c r="BD35" s="38">
        <f t="shared" ref="BD35:BE35" si="11">SUM(BD24:BD34)</f>
        <v>162403.79999999999</v>
      </c>
      <c r="BE35" s="38">
        <f t="shared" si="11"/>
        <v>166263.70000000001</v>
      </c>
      <c r="BF35" s="38">
        <f t="shared" ref="BF35" si="12">SUM(BF24:BF34)</f>
        <v>167977.4</v>
      </c>
    </row>
    <row r="36" spans="1:58" s="17" customFormat="1" ht="11.25">
      <c r="A36" s="31" t="s">
        <v>200</v>
      </c>
      <c r="B36" s="31" t="s">
        <v>26</v>
      </c>
      <c r="C36" s="27"/>
      <c r="D36" s="28"/>
      <c r="E36" s="28"/>
      <c r="F36" s="28"/>
      <c r="G36" s="27"/>
      <c r="H36" s="28"/>
      <c r="I36" s="28"/>
      <c r="J36" s="29"/>
      <c r="K36" s="27"/>
      <c r="L36" s="28"/>
      <c r="M36" s="28"/>
      <c r="N36" s="29"/>
      <c r="O36" s="27"/>
      <c r="P36" s="28"/>
      <c r="Q36" s="28"/>
      <c r="R36" s="29"/>
      <c r="S36" s="27"/>
      <c r="T36" s="28"/>
      <c r="U36" s="28"/>
      <c r="V36" s="29"/>
      <c r="W36" s="28"/>
      <c r="X36" s="28"/>
      <c r="Y36" s="28"/>
      <c r="Z36" s="29"/>
      <c r="AA36" s="27"/>
      <c r="AB36" s="28"/>
      <c r="AC36" s="28"/>
      <c r="AD36" s="29"/>
      <c r="AE36" s="27"/>
      <c r="AF36" s="28"/>
      <c r="AG36" s="28"/>
      <c r="AH36" s="29"/>
      <c r="AI36" s="28"/>
      <c r="AJ36" s="28"/>
      <c r="AK36" s="28"/>
      <c r="AL36" s="29"/>
      <c r="AM36" s="28"/>
      <c r="AN36" s="28"/>
      <c r="AO36" s="28"/>
      <c r="AP36" s="29"/>
      <c r="AQ36" s="28"/>
      <c r="AR36" s="28"/>
      <c r="AS36" s="28"/>
      <c r="AT36" s="28"/>
      <c r="AU36" s="27"/>
      <c r="AV36" s="28"/>
      <c r="AW36" s="28"/>
      <c r="AX36" s="28"/>
      <c r="AY36" s="27"/>
      <c r="AZ36" s="28"/>
      <c r="BA36" s="28"/>
      <c r="BB36" s="28"/>
      <c r="BC36" s="27"/>
      <c r="BD36" s="28"/>
      <c r="BE36" s="28"/>
      <c r="BF36" s="28"/>
    </row>
    <row r="37" spans="1:58" s="534" customFormat="1" ht="11.25">
      <c r="A37" s="535" t="s">
        <v>201</v>
      </c>
      <c r="B37" s="535" t="s">
        <v>583</v>
      </c>
      <c r="C37" s="425">
        <v>130.1</v>
      </c>
      <c r="D37" s="337">
        <v>130.1</v>
      </c>
      <c r="E37" s="337">
        <v>130.1</v>
      </c>
      <c r="F37" s="337">
        <v>130.1</v>
      </c>
      <c r="G37" s="425">
        <v>130.1</v>
      </c>
      <c r="H37" s="337">
        <v>130.1</v>
      </c>
      <c r="I37" s="337">
        <v>130.1</v>
      </c>
      <c r="J37" s="338">
        <v>130.1</v>
      </c>
      <c r="K37" s="425">
        <v>130.1</v>
      </c>
      <c r="L37" s="337">
        <v>130.1</v>
      </c>
      <c r="M37" s="337">
        <v>130.1</v>
      </c>
      <c r="N37" s="338">
        <v>130.1</v>
      </c>
      <c r="O37" s="425">
        <v>130.1</v>
      </c>
      <c r="P37" s="337">
        <v>130.1</v>
      </c>
      <c r="Q37" s="337">
        <v>130.1</v>
      </c>
      <c r="R37" s="338">
        <v>130.1</v>
      </c>
      <c r="S37" s="425">
        <v>130.1</v>
      </c>
      <c r="T37" s="337">
        <v>130.1</v>
      </c>
      <c r="U37" s="337">
        <v>130.1</v>
      </c>
      <c r="V37" s="338">
        <v>130.1</v>
      </c>
      <c r="W37" s="337">
        <v>130.10000000000002</v>
      </c>
      <c r="X37" s="337">
        <v>130.10000000000002</v>
      </c>
      <c r="Y37" s="337">
        <v>130.10000000000002</v>
      </c>
      <c r="Z37" s="338">
        <v>130.10000000000002</v>
      </c>
      <c r="AA37" s="425">
        <v>130.10000000000002</v>
      </c>
      <c r="AB37" s="337">
        <v>130.10000000000002</v>
      </c>
      <c r="AC37" s="337">
        <v>130.10000000000002</v>
      </c>
      <c r="AD37" s="338">
        <v>130.10000000000002</v>
      </c>
      <c r="AE37" s="425">
        <v>130.10000000000002</v>
      </c>
      <c r="AF37" s="337">
        <v>130.10000000000002</v>
      </c>
      <c r="AG37" s="337">
        <v>130.1</v>
      </c>
      <c r="AH37" s="338">
        <v>130.1</v>
      </c>
      <c r="AI37" s="337">
        <v>130.1</v>
      </c>
      <c r="AJ37" s="337">
        <v>130.10000000000002</v>
      </c>
      <c r="AK37" s="337">
        <v>130.10000000000002</v>
      </c>
      <c r="AL37" s="338">
        <v>130.1</v>
      </c>
      <c r="AM37" s="337">
        <v>130.1</v>
      </c>
      <c r="AN37" s="337">
        <v>130.10000000000002</v>
      </c>
      <c r="AO37" s="337">
        <v>130.10000000000002</v>
      </c>
      <c r="AP37" s="338">
        <v>130.1</v>
      </c>
      <c r="AQ37" s="337">
        <v>130.1</v>
      </c>
      <c r="AR37" s="337">
        <v>130.1</v>
      </c>
      <c r="AS37" s="337">
        <v>130.1</v>
      </c>
      <c r="AT37" s="337">
        <v>130.1</v>
      </c>
      <c r="AU37" s="425">
        <v>130.1</v>
      </c>
      <c r="AV37" s="337">
        <v>130.1</v>
      </c>
      <c r="AW37" s="337">
        <v>130.1</v>
      </c>
      <c r="AX37" s="337">
        <v>130.1</v>
      </c>
      <c r="AY37" s="425">
        <v>130.1</v>
      </c>
      <c r="AZ37" s="337">
        <v>130.1</v>
      </c>
      <c r="BA37" s="337">
        <v>130.1</v>
      </c>
      <c r="BB37" s="337">
        <v>130.1</v>
      </c>
      <c r="BC37" s="425">
        <v>130.1</v>
      </c>
      <c r="BD37" s="337">
        <v>130.1</v>
      </c>
      <c r="BE37" s="337">
        <v>130.1</v>
      </c>
      <c r="BF37" s="337">
        <v>130.1</v>
      </c>
    </row>
    <row r="38" spans="1:58" s="418" customFormat="1" ht="11.25">
      <c r="A38" s="532" t="s">
        <v>202</v>
      </c>
      <c r="B38" s="532" t="s">
        <v>27</v>
      </c>
      <c r="C38" s="425">
        <f>993.8-37.5</f>
        <v>956.3</v>
      </c>
      <c r="D38" s="337">
        <f>993.8-37.5</f>
        <v>956.3</v>
      </c>
      <c r="E38" s="337">
        <f>993.8-37.5</f>
        <v>956.3</v>
      </c>
      <c r="F38" s="337">
        <v>956.3</v>
      </c>
      <c r="G38" s="425">
        <v>956.3</v>
      </c>
      <c r="H38" s="337">
        <v>956.3</v>
      </c>
      <c r="I38" s="337">
        <v>956.3</v>
      </c>
      <c r="J38" s="338">
        <v>956.3</v>
      </c>
      <c r="K38" s="425">
        <v>956.3</v>
      </c>
      <c r="L38" s="337">
        <v>956.3</v>
      </c>
      <c r="M38" s="337">
        <v>956.3</v>
      </c>
      <c r="N38" s="338">
        <v>956.3</v>
      </c>
      <c r="O38" s="425">
        <v>956.3</v>
      </c>
      <c r="P38" s="337">
        <v>956.3</v>
      </c>
      <c r="Q38" s="337">
        <v>956.3</v>
      </c>
      <c r="R38" s="338">
        <v>956.3</v>
      </c>
      <c r="S38" s="425">
        <v>956.3</v>
      </c>
      <c r="T38" s="337">
        <v>956.3</v>
      </c>
      <c r="U38" s="337">
        <v>956.3</v>
      </c>
      <c r="V38" s="338">
        <v>956.3</v>
      </c>
      <c r="W38" s="337">
        <v>956.3</v>
      </c>
      <c r="X38" s="337">
        <v>956.3</v>
      </c>
      <c r="Y38" s="337">
        <v>956.3</v>
      </c>
      <c r="Z38" s="338">
        <v>956.3</v>
      </c>
      <c r="AA38" s="425">
        <v>956.3</v>
      </c>
      <c r="AB38" s="337">
        <v>956.3</v>
      </c>
      <c r="AC38" s="337">
        <v>956.3</v>
      </c>
      <c r="AD38" s="338">
        <v>956.3</v>
      </c>
      <c r="AE38" s="425">
        <v>956.3</v>
      </c>
      <c r="AF38" s="337">
        <v>956.3</v>
      </c>
      <c r="AG38" s="337">
        <v>956.3</v>
      </c>
      <c r="AH38" s="338">
        <v>956.3</v>
      </c>
      <c r="AI38" s="337">
        <v>956.3</v>
      </c>
      <c r="AJ38" s="337">
        <v>956.3</v>
      </c>
      <c r="AK38" s="337">
        <v>956.3</v>
      </c>
      <c r="AL38" s="338">
        <v>956.3</v>
      </c>
      <c r="AM38" s="337">
        <v>956.3</v>
      </c>
      <c r="AN38" s="337">
        <v>956.3</v>
      </c>
      <c r="AO38" s="337">
        <v>956.3</v>
      </c>
      <c r="AP38" s="338">
        <v>956.3</v>
      </c>
      <c r="AQ38" s="337">
        <v>956.3</v>
      </c>
      <c r="AR38" s="337">
        <v>956.3</v>
      </c>
      <c r="AS38" s="337">
        <v>956.3</v>
      </c>
      <c r="AT38" s="337">
        <v>956.3</v>
      </c>
      <c r="AU38" s="425">
        <v>956.3</v>
      </c>
      <c r="AV38" s="337">
        <v>956.3</v>
      </c>
      <c r="AW38" s="337">
        <v>956.3</v>
      </c>
      <c r="AX38" s="337">
        <v>956.3</v>
      </c>
      <c r="AY38" s="425">
        <v>956.3</v>
      </c>
      <c r="AZ38" s="337">
        <v>956.3</v>
      </c>
      <c r="BA38" s="337">
        <v>956.3</v>
      </c>
      <c r="BB38" s="337">
        <v>956.3</v>
      </c>
      <c r="BC38" s="425">
        <v>956.3</v>
      </c>
      <c r="BD38" s="337">
        <v>956.3</v>
      </c>
      <c r="BE38" s="337">
        <v>956.3</v>
      </c>
      <c r="BF38" s="337">
        <v>956.3</v>
      </c>
    </row>
    <row r="39" spans="1:58" s="418" customFormat="1" ht="11.25">
      <c r="A39" s="532" t="s">
        <v>584</v>
      </c>
      <c r="B39" s="532" t="s">
        <v>585</v>
      </c>
      <c r="C39" s="425">
        <v>74.2</v>
      </c>
      <c r="D39" s="337">
        <v>-11.399999999999991</v>
      </c>
      <c r="E39" s="337">
        <v>-12.5</v>
      </c>
      <c r="F39" s="337">
        <v>-91.6</v>
      </c>
      <c r="G39" s="425">
        <v>-90.000000000000014</v>
      </c>
      <c r="H39" s="337">
        <v>-208.5</v>
      </c>
      <c r="I39" s="337">
        <v>-75.2</v>
      </c>
      <c r="J39" s="338">
        <v>-2.5</v>
      </c>
      <c r="K39" s="425">
        <v>-24.600000000000009</v>
      </c>
      <c r="L39" s="337">
        <v>12.2</v>
      </c>
      <c r="M39" s="337">
        <v>28.099999999999994</v>
      </c>
      <c r="N39" s="338">
        <v>48.7</v>
      </c>
      <c r="O39" s="425">
        <v>117.5</v>
      </c>
      <c r="P39" s="337">
        <v>73.2</v>
      </c>
      <c r="Q39" s="337">
        <v>128.5</v>
      </c>
      <c r="R39" s="338">
        <v>56.4</v>
      </c>
      <c r="S39" s="425">
        <v>-28.500000000000004</v>
      </c>
      <c r="T39" s="337">
        <v>99.100000000000009</v>
      </c>
      <c r="U39" s="337">
        <v>118.20000000000002</v>
      </c>
      <c r="V39" s="338">
        <v>118.29999999999995</v>
      </c>
      <c r="W39" s="337">
        <v>187.1</v>
      </c>
      <c r="X39" s="337">
        <v>244.2</v>
      </c>
      <c r="Y39" s="337">
        <v>483.59999999999997</v>
      </c>
      <c r="Z39" s="338">
        <v>999.69999999999993</v>
      </c>
      <c r="AA39" s="425">
        <v>840.1</v>
      </c>
      <c r="AB39" s="337">
        <v>516.79999999999995</v>
      </c>
      <c r="AC39" s="337">
        <v>419.29999999999995</v>
      </c>
      <c r="AD39" s="338">
        <v>524.29999999999995</v>
      </c>
      <c r="AE39" s="425">
        <v>526.5</v>
      </c>
      <c r="AF39" s="337">
        <v>1085.9000000000001</v>
      </c>
      <c r="AG39" s="337">
        <v>1584.5</v>
      </c>
      <c r="AH39" s="338">
        <v>1874.3000000000002</v>
      </c>
      <c r="AI39" s="337">
        <v>1908.8000000000002</v>
      </c>
      <c r="AJ39" s="337">
        <v>888.30000000000007</v>
      </c>
      <c r="AK39" s="337">
        <v>1316.9</v>
      </c>
      <c r="AL39" s="338">
        <v>1485</v>
      </c>
      <c r="AM39" s="337">
        <v>1774.8000000000002</v>
      </c>
      <c r="AN39" s="337">
        <v>1508</v>
      </c>
      <c r="AO39" s="337">
        <v>1341.8</v>
      </c>
      <c r="AP39" s="338">
        <v>577.5</v>
      </c>
      <c r="AQ39" s="337">
        <v>589.6</v>
      </c>
      <c r="AR39" s="337">
        <v>596.20000000000005</v>
      </c>
      <c r="AS39" s="337">
        <v>551.80000000000007</v>
      </c>
      <c r="AT39" s="337">
        <v>494.29999999999995</v>
      </c>
      <c r="AU39" s="425">
        <v>683.99999999999989</v>
      </c>
      <c r="AV39" s="337">
        <v>556.99999999999989</v>
      </c>
      <c r="AW39" s="337">
        <v>450.6</v>
      </c>
      <c r="AX39" s="337">
        <v>1169.7</v>
      </c>
      <c r="AY39" s="425">
        <v>1392.1999999999998</v>
      </c>
      <c r="AZ39" s="337">
        <v>1729.1999999999998</v>
      </c>
      <c r="BA39" s="337">
        <v>2357.3000000000002</v>
      </c>
      <c r="BB39" s="337">
        <v>1867.3</v>
      </c>
      <c r="BC39" s="425">
        <v>3717.7</v>
      </c>
      <c r="BD39" s="337">
        <v>4296.0000000000009</v>
      </c>
      <c r="BE39" s="337">
        <v>4216.1000000000004</v>
      </c>
      <c r="BF39" s="337">
        <v>3923.4</v>
      </c>
    </row>
    <row r="40" spans="1:58" s="418" customFormat="1" ht="11.25">
      <c r="A40" s="532" t="s">
        <v>203</v>
      </c>
      <c r="B40" s="532" t="s">
        <v>28</v>
      </c>
      <c r="C40" s="425">
        <v>2741.7</v>
      </c>
      <c r="D40" s="337">
        <v>2547</v>
      </c>
      <c r="E40" s="337">
        <v>2746.5</v>
      </c>
      <c r="F40" s="337">
        <v>2844</v>
      </c>
      <c r="G40" s="425">
        <v>3017.3</v>
      </c>
      <c r="H40" s="337">
        <v>3099.7</v>
      </c>
      <c r="I40" s="337">
        <v>3266.7</v>
      </c>
      <c r="J40" s="338">
        <v>3138.3</v>
      </c>
      <c r="K40" s="425">
        <v>3219.1</v>
      </c>
      <c r="L40" s="337">
        <v>3416</v>
      </c>
      <c r="M40" s="337">
        <v>3627.6</v>
      </c>
      <c r="N40" s="338">
        <v>3749.3</v>
      </c>
      <c r="O40" s="425">
        <v>3927.8</v>
      </c>
      <c r="P40" s="337">
        <v>4120.6000000000004</v>
      </c>
      <c r="Q40" s="337">
        <v>4314.5999999999995</v>
      </c>
      <c r="R40" s="338">
        <v>4508</v>
      </c>
      <c r="S40" s="425">
        <v>4724.1000000000004</v>
      </c>
      <c r="T40" s="337">
        <v>4766</v>
      </c>
      <c r="U40" s="337">
        <v>4990</v>
      </c>
      <c r="V40" s="338">
        <v>5209</v>
      </c>
      <c r="W40" s="337">
        <v>5477.6</v>
      </c>
      <c r="X40" s="337">
        <v>5648.2</v>
      </c>
      <c r="Y40" s="337">
        <v>5854.9</v>
      </c>
      <c r="Z40" s="338">
        <v>6047.7</v>
      </c>
      <c r="AA40" s="425">
        <v>6310</v>
      </c>
      <c r="AB40" s="337">
        <v>6528</v>
      </c>
      <c r="AC40" s="337">
        <v>6763.5</v>
      </c>
      <c r="AD40" s="338">
        <v>7015.5999999999995</v>
      </c>
      <c r="AE40" s="425">
        <v>7272.6999999999989</v>
      </c>
      <c r="AF40" s="337">
        <v>6986.3999999999987</v>
      </c>
      <c r="AG40" s="337">
        <v>7260.6999999999989</v>
      </c>
      <c r="AH40" s="338">
        <v>7493.2999999999993</v>
      </c>
      <c r="AI40" s="337">
        <v>7234.2999999999993</v>
      </c>
      <c r="AJ40" s="337">
        <v>7581.4</v>
      </c>
      <c r="AK40" s="337">
        <v>7898.4999999999991</v>
      </c>
      <c r="AL40" s="338">
        <v>8106.4999999999991</v>
      </c>
      <c r="AM40" s="337">
        <v>7806.5</v>
      </c>
      <c r="AN40" s="337">
        <v>8215.6999999999989</v>
      </c>
      <c r="AO40" s="337">
        <v>8548.5</v>
      </c>
      <c r="AP40" s="338">
        <v>8811</v>
      </c>
      <c r="AQ40" s="337">
        <v>9111.2999999999993</v>
      </c>
      <c r="AR40" s="337">
        <v>9471.5</v>
      </c>
      <c r="AS40" s="337">
        <v>9847.9999999999982</v>
      </c>
      <c r="AT40" s="337">
        <v>9953.5999999999985</v>
      </c>
      <c r="AU40" s="425">
        <v>10288.5</v>
      </c>
      <c r="AV40" s="337">
        <v>10232.499999999998</v>
      </c>
      <c r="AW40" s="337">
        <v>10610.800000000001</v>
      </c>
      <c r="AX40" s="337">
        <v>11065.500000000004</v>
      </c>
      <c r="AY40" s="425">
        <v>10934.7</v>
      </c>
      <c r="AZ40" s="337">
        <v>11404.2</v>
      </c>
      <c r="BA40" s="337">
        <v>11819</v>
      </c>
      <c r="BB40" s="337">
        <v>12269.6</v>
      </c>
      <c r="BC40" s="425">
        <v>12536.9</v>
      </c>
      <c r="BD40" s="337">
        <v>12853.1</v>
      </c>
      <c r="BE40" s="337">
        <v>13293.300000000001</v>
      </c>
      <c r="BF40" s="337">
        <v>13608.500000000002</v>
      </c>
    </row>
    <row r="41" spans="1:58" s="176" customFormat="1" ht="11.25">
      <c r="A41" s="51" t="s">
        <v>204</v>
      </c>
      <c r="B41" s="51" t="s">
        <v>29</v>
      </c>
      <c r="C41" s="37">
        <f t="shared" ref="C41:AP41" si="13">SUM(C37:C40)</f>
        <v>3902.2999999999997</v>
      </c>
      <c r="D41" s="38">
        <f t="shared" si="13"/>
        <v>3622</v>
      </c>
      <c r="E41" s="38">
        <f t="shared" si="13"/>
        <v>3820.3999999999996</v>
      </c>
      <c r="F41" s="38">
        <f t="shared" si="13"/>
        <v>3838.7999999999997</v>
      </c>
      <c r="G41" s="37">
        <f t="shared" si="13"/>
        <v>4013.7</v>
      </c>
      <c r="H41" s="38">
        <f t="shared" si="13"/>
        <v>3977.5999999999995</v>
      </c>
      <c r="I41" s="38">
        <f t="shared" si="13"/>
        <v>4277.8999999999996</v>
      </c>
      <c r="J41" s="38">
        <f t="shared" si="13"/>
        <v>4222.2</v>
      </c>
      <c r="K41" s="37">
        <f t="shared" si="13"/>
        <v>4280.8999999999996</v>
      </c>
      <c r="L41" s="38">
        <f t="shared" si="13"/>
        <v>4514.6000000000004</v>
      </c>
      <c r="M41" s="38">
        <f t="shared" si="13"/>
        <v>4742.0999999999995</v>
      </c>
      <c r="N41" s="38">
        <f t="shared" si="13"/>
        <v>4884.3999999999996</v>
      </c>
      <c r="O41" s="37">
        <f t="shared" si="13"/>
        <v>5131.7</v>
      </c>
      <c r="P41" s="38">
        <f t="shared" si="13"/>
        <v>5280.2000000000007</v>
      </c>
      <c r="Q41" s="38">
        <f t="shared" si="13"/>
        <v>5529.4999999999991</v>
      </c>
      <c r="R41" s="38">
        <f t="shared" si="13"/>
        <v>5650.8</v>
      </c>
      <c r="S41" s="37">
        <f t="shared" si="13"/>
        <v>5782</v>
      </c>
      <c r="T41" s="38">
        <f t="shared" si="13"/>
        <v>5951.5</v>
      </c>
      <c r="U41" s="38">
        <f t="shared" si="13"/>
        <v>6194.6</v>
      </c>
      <c r="V41" s="38">
        <f t="shared" si="13"/>
        <v>6413.7</v>
      </c>
      <c r="W41" s="37">
        <f t="shared" si="13"/>
        <v>6751.1</v>
      </c>
      <c r="X41" s="38">
        <f t="shared" si="13"/>
        <v>6978.8</v>
      </c>
      <c r="Y41" s="38">
        <f t="shared" si="13"/>
        <v>7424.9</v>
      </c>
      <c r="Z41" s="39">
        <f t="shared" si="13"/>
        <v>8133.7999999999993</v>
      </c>
      <c r="AA41" s="37">
        <f t="shared" si="13"/>
        <v>8236.5</v>
      </c>
      <c r="AB41" s="38">
        <f t="shared" si="13"/>
        <v>8131.2</v>
      </c>
      <c r="AC41" s="38">
        <f t="shared" si="13"/>
        <v>8269.2000000000007</v>
      </c>
      <c r="AD41" s="39">
        <f t="shared" si="13"/>
        <v>8626.2999999999993</v>
      </c>
      <c r="AE41" s="37">
        <f t="shared" si="13"/>
        <v>8885.5999999999985</v>
      </c>
      <c r="AF41" s="38">
        <f t="shared" si="13"/>
        <v>9158.6999999999989</v>
      </c>
      <c r="AG41" s="38">
        <f t="shared" si="13"/>
        <v>9931.5999999999985</v>
      </c>
      <c r="AH41" s="39">
        <f t="shared" si="13"/>
        <v>10454</v>
      </c>
      <c r="AI41" s="38">
        <f t="shared" si="13"/>
        <v>10229.5</v>
      </c>
      <c r="AJ41" s="38">
        <f t="shared" si="13"/>
        <v>9556.1</v>
      </c>
      <c r="AK41" s="38">
        <f t="shared" si="13"/>
        <v>10301.799999999999</v>
      </c>
      <c r="AL41" s="39">
        <f t="shared" si="13"/>
        <v>10677.899999999998</v>
      </c>
      <c r="AM41" s="38">
        <f t="shared" si="13"/>
        <v>10667.7</v>
      </c>
      <c r="AN41" s="38">
        <f t="shared" si="13"/>
        <v>10810.099999999999</v>
      </c>
      <c r="AO41" s="38">
        <f t="shared" si="13"/>
        <v>10976.7</v>
      </c>
      <c r="AP41" s="39">
        <f t="shared" si="13"/>
        <v>10474.9</v>
      </c>
      <c r="AQ41" s="38">
        <f t="shared" ref="AQ41:AY41" si="14">SUM(AQ37:AQ40)</f>
        <v>10787.3</v>
      </c>
      <c r="AR41" s="38">
        <f t="shared" si="14"/>
        <v>11154.1</v>
      </c>
      <c r="AS41" s="38">
        <f t="shared" si="14"/>
        <v>11486.199999999997</v>
      </c>
      <c r="AT41" s="38">
        <f t="shared" si="14"/>
        <v>11534.3</v>
      </c>
      <c r="AU41" s="37">
        <f t="shared" si="14"/>
        <v>12058.9</v>
      </c>
      <c r="AV41" s="38">
        <f t="shared" si="14"/>
        <v>11875.899999999998</v>
      </c>
      <c r="AW41" s="38">
        <f t="shared" si="14"/>
        <v>12147.800000000001</v>
      </c>
      <c r="AX41" s="38">
        <f t="shared" si="14"/>
        <v>13321.600000000004</v>
      </c>
      <c r="AY41" s="37">
        <f t="shared" si="14"/>
        <v>13413.3</v>
      </c>
      <c r="AZ41" s="38">
        <f t="shared" ref="AZ41:BA41" si="15">SUM(AZ37:AZ40)</f>
        <v>14219.8</v>
      </c>
      <c r="BA41" s="38">
        <f t="shared" si="15"/>
        <v>15262.7</v>
      </c>
      <c r="BB41" s="38">
        <f t="shared" ref="BB41:BC41" si="16">SUM(BB37:BB40)</f>
        <v>15223.3</v>
      </c>
      <c r="BC41" s="37">
        <f t="shared" si="16"/>
        <v>17341</v>
      </c>
      <c r="BD41" s="38">
        <f t="shared" ref="BD41:BE41" si="17">SUM(BD37:BD40)</f>
        <v>18235.5</v>
      </c>
      <c r="BE41" s="38">
        <f t="shared" si="17"/>
        <v>18595.800000000003</v>
      </c>
      <c r="BF41" s="38">
        <f t="shared" ref="BF41" si="18">SUM(BF37:BF40)</f>
        <v>18618.300000000003</v>
      </c>
    </row>
    <row r="42" spans="1:58" s="17" customFormat="1" ht="6" customHeight="1">
      <c r="A42" s="30"/>
      <c r="B42" s="30"/>
      <c r="C42" s="27"/>
      <c r="D42" s="28"/>
      <c r="E42" s="28"/>
      <c r="F42" s="28"/>
      <c r="G42" s="27"/>
      <c r="H42" s="28"/>
      <c r="I42" s="28"/>
      <c r="J42" s="29"/>
      <c r="K42" s="27"/>
      <c r="L42" s="28"/>
      <c r="M42" s="28"/>
      <c r="N42" s="29"/>
      <c r="O42" s="27"/>
      <c r="P42" s="28"/>
      <c r="Q42" s="28"/>
      <c r="R42" s="29"/>
      <c r="S42" s="27"/>
      <c r="T42" s="28"/>
      <c r="U42" s="28"/>
      <c r="V42" s="29"/>
      <c r="W42" s="28"/>
      <c r="X42" s="28"/>
      <c r="Y42" s="28"/>
      <c r="Z42" s="29"/>
      <c r="AA42" s="27"/>
      <c r="AB42" s="28"/>
      <c r="AC42" s="28"/>
      <c r="AD42" s="29"/>
      <c r="AE42" s="27"/>
      <c r="AF42" s="28"/>
      <c r="AG42" s="28"/>
      <c r="AH42" s="29"/>
      <c r="AI42" s="28"/>
      <c r="AJ42" s="28"/>
      <c r="AK42" s="28"/>
      <c r="AL42" s="29"/>
      <c r="AM42" s="28"/>
      <c r="AN42" s="28"/>
      <c r="AO42" s="28"/>
      <c r="AP42" s="29"/>
      <c r="AQ42" s="28"/>
      <c r="AR42" s="28"/>
      <c r="AS42" s="28"/>
      <c r="AT42" s="28"/>
      <c r="AU42" s="27"/>
      <c r="AV42" s="28"/>
      <c r="AW42" s="28"/>
      <c r="AX42" s="28"/>
      <c r="AY42" s="27"/>
      <c r="AZ42" s="28"/>
      <c r="BA42" s="28"/>
      <c r="BB42" s="28"/>
      <c r="BC42" s="27"/>
      <c r="BD42" s="28"/>
      <c r="BE42" s="28"/>
      <c r="BF42" s="28"/>
    </row>
    <row r="43" spans="1:58" s="534" customFormat="1" ht="11.25">
      <c r="A43" s="535" t="s">
        <v>205</v>
      </c>
      <c r="B43" s="535" t="s">
        <v>30</v>
      </c>
      <c r="C43" s="425">
        <v>25.9</v>
      </c>
      <c r="D43" s="337">
        <v>28.9</v>
      </c>
      <c r="E43" s="337">
        <v>1.7</v>
      </c>
      <c r="F43" s="337">
        <v>1.7</v>
      </c>
      <c r="G43" s="425">
        <v>1.7</v>
      </c>
      <c r="H43" s="337">
        <v>1.7</v>
      </c>
      <c r="I43" s="337">
        <v>1.8</v>
      </c>
      <c r="J43" s="338">
        <v>2.2999999999999998</v>
      </c>
      <c r="K43" s="425">
        <v>2.2999999999999998</v>
      </c>
      <c r="L43" s="337">
        <v>2.2999999999999998</v>
      </c>
      <c r="M43" s="337">
        <v>2.2999999999999998</v>
      </c>
      <c r="N43" s="338">
        <v>2.2999999999999998</v>
      </c>
      <c r="O43" s="425">
        <v>2.2999999999999998</v>
      </c>
      <c r="P43" s="337">
        <v>2.2999999999999998</v>
      </c>
      <c r="Q43" s="337">
        <v>2.4</v>
      </c>
      <c r="R43" s="338">
        <v>2.2999999999999998</v>
      </c>
      <c r="S43" s="425">
        <v>2.2999999999999998</v>
      </c>
      <c r="T43" s="337">
        <v>2.2999999999999998</v>
      </c>
      <c r="U43" s="337">
        <v>2.2999999999999998</v>
      </c>
      <c r="V43" s="338">
        <v>2.2999999999999998</v>
      </c>
      <c r="W43" s="337">
        <v>2.2999999999999998</v>
      </c>
      <c r="X43" s="337">
        <v>2.2999999999999998</v>
      </c>
      <c r="Y43" s="337">
        <v>2.2999999999999998</v>
      </c>
      <c r="Z43" s="338">
        <v>2.2999999999999998</v>
      </c>
      <c r="AA43" s="425">
        <v>2.2999999999999998</v>
      </c>
      <c r="AB43" s="337">
        <v>2.2999999999999998</v>
      </c>
      <c r="AC43" s="337">
        <v>2.2999999999999998</v>
      </c>
      <c r="AD43" s="338">
        <v>2.2999999999999998</v>
      </c>
      <c r="AE43" s="425">
        <v>2.2999999999999998</v>
      </c>
      <c r="AF43" s="337">
        <v>2.4000000000000012</v>
      </c>
      <c r="AG43" s="337">
        <v>2.6</v>
      </c>
      <c r="AH43" s="338">
        <v>2.6</v>
      </c>
      <c r="AI43" s="337">
        <v>2.6</v>
      </c>
      <c r="AJ43" s="337">
        <v>2.6</v>
      </c>
      <c r="AK43" s="337">
        <v>2.6</v>
      </c>
      <c r="AL43" s="338">
        <v>2.6</v>
      </c>
      <c r="AM43" s="337">
        <v>2.5</v>
      </c>
      <c r="AN43" s="337">
        <v>2.5</v>
      </c>
      <c r="AO43" s="337">
        <v>2.2999999999999998</v>
      </c>
      <c r="AP43" s="338">
        <v>2.2999999999999998</v>
      </c>
      <c r="AQ43" s="337">
        <v>2.1</v>
      </c>
      <c r="AR43" s="337">
        <v>0</v>
      </c>
      <c r="AS43" s="337">
        <v>0</v>
      </c>
      <c r="AT43" s="337">
        <v>0</v>
      </c>
      <c r="AU43" s="425">
        <v>0</v>
      </c>
      <c r="AV43" s="337">
        <v>0</v>
      </c>
      <c r="AW43" s="337">
        <v>0</v>
      </c>
      <c r="AX43" s="337">
        <v>0</v>
      </c>
      <c r="AY43" s="425">
        <v>0</v>
      </c>
      <c r="AZ43" s="337">
        <v>0</v>
      </c>
      <c r="BA43" s="337">
        <v>0</v>
      </c>
      <c r="BB43" s="337">
        <v>0</v>
      </c>
      <c r="BC43" s="425">
        <v>0</v>
      </c>
      <c r="BD43" s="337">
        <v>0</v>
      </c>
      <c r="BE43" s="337">
        <v>0</v>
      </c>
      <c r="BF43" s="337">
        <v>0</v>
      </c>
    </row>
    <row r="44" spans="1:58" s="17" customFormat="1" ht="6" customHeight="1">
      <c r="A44" s="56"/>
      <c r="B44" s="56"/>
      <c r="C44" s="27"/>
      <c r="D44" s="28"/>
      <c r="E44" s="28"/>
      <c r="F44" s="28"/>
      <c r="G44" s="27"/>
      <c r="H44" s="28"/>
      <c r="I44" s="28"/>
      <c r="J44" s="29"/>
      <c r="K44" s="27"/>
      <c r="L44" s="28"/>
      <c r="M44" s="28"/>
      <c r="N44" s="29"/>
      <c r="O44" s="27"/>
      <c r="P44" s="28"/>
      <c r="Q44" s="28"/>
      <c r="R44" s="29"/>
      <c r="S44" s="27"/>
      <c r="T44" s="28"/>
      <c r="U44" s="28"/>
      <c r="V44" s="29"/>
      <c r="W44" s="28"/>
      <c r="X44" s="28"/>
      <c r="Y44" s="28"/>
      <c r="Z44" s="29"/>
      <c r="AA44" s="27"/>
      <c r="AB44" s="28"/>
      <c r="AC44" s="28"/>
      <c r="AD44" s="29"/>
      <c r="AE44" s="27"/>
      <c r="AF44" s="28"/>
      <c r="AG44" s="28"/>
      <c r="AH44" s="29"/>
      <c r="AI44" s="28"/>
      <c r="AJ44" s="28"/>
      <c r="AK44" s="28"/>
      <c r="AL44" s="29"/>
      <c r="AM44" s="28"/>
      <c r="AN44" s="28"/>
      <c r="AO44" s="28"/>
      <c r="AP44" s="29"/>
      <c r="AQ44" s="28"/>
      <c r="AR44" s="28"/>
      <c r="AS44" s="28"/>
      <c r="AT44" s="28"/>
      <c r="AU44" s="27"/>
      <c r="AV44" s="28"/>
      <c r="AW44" s="28"/>
      <c r="AX44" s="28"/>
      <c r="AY44" s="27"/>
      <c r="AZ44" s="28"/>
      <c r="BA44" s="28"/>
      <c r="BB44" s="28"/>
      <c r="BC44" s="27"/>
      <c r="BD44" s="28"/>
      <c r="BE44" s="28"/>
      <c r="BF44" s="28"/>
    </row>
    <row r="45" spans="1:58" s="176" customFormat="1" ht="11.25">
      <c r="A45" s="51" t="s">
        <v>206</v>
      </c>
      <c r="B45" s="51" t="s">
        <v>31</v>
      </c>
      <c r="C45" s="37">
        <f>C41+C43</f>
        <v>3928.2</v>
      </c>
      <c r="D45" s="38">
        <f t="shared" ref="D45:W45" si="19">D41+D43</f>
        <v>3650.9</v>
      </c>
      <c r="E45" s="38">
        <f t="shared" si="19"/>
        <v>3822.0999999999995</v>
      </c>
      <c r="F45" s="38">
        <f t="shared" si="19"/>
        <v>3840.4999999999995</v>
      </c>
      <c r="G45" s="37">
        <f t="shared" si="19"/>
        <v>4015.3999999999996</v>
      </c>
      <c r="H45" s="38">
        <f t="shared" si="19"/>
        <v>3979.2999999999993</v>
      </c>
      <c r="I45" s="38">
        <f t="shared" si="19"/>
        <v>4279.7</v>
      </c>
      <c r="J45" s="38">
        <f t="shared" si="19"/>
        <v>4224.5</v>
      </c>
      <c r="K45" s="37">
        <f t="shared" si="19"/>
        <v>4283.2</v>
      </c>
      <c r="L45" s="38">
        <f t="shared" si="19"/>
        <v>4516.9000000000005</v>
      </c>
      <c r="M45" s="38">
        <f t="shared" si="19"/>
        <v>4744.3999999999996</v>
      </c>
      <c r="N45" s="38">
        <f t="shared" si="19"/>
        <v>4886.7</v>
      </c>
      <c r="O45" s="37">
        <f t="shared" si="19"/>
        <v>5134</v>
      </c>
      <c r="P45" s="38">
        <f t="shared" si="19"/>
        <v>5282.5000000000009</v>
      </c>
      <c r="Q45" s="38">
        <f t="shared" si="19"/>
        <v>5531.8999999999987</v>
      </c>
      <c r="R45" s="38">
        <f t="shared" si="19"/>
        <v>5653.1</v>
      </c>
      <c r="S45" s="37">
        <f t="shared" si="19"/>
        <v>5784.3</v>
      </c>
      <c r="T45" s="38">
        <f t="shared" si="19"/>
        <v>5953.8</v>
      </c>
      <c r="U45" s="38">
        <f t="shared" si="19"/>
        <v>6196.9000000000005</v>
      </c>
      <c r="V45" s="38">
        <f t="shared" si="19"/>
        <v>6416</v>
      </c>
      <c r="W45" s="37">
        <f t="shared" si="19"/>
        <v>6753.4000000000005</v>
      </c>
      <c r="X45" s="38">
        <f>X41+X43</f>
        <v>6981.1</v>
      </c>
      <c r="Y45" s="38">
        <f t="shared" ref="Y45:AU45" si="20">Y41+Y43</f>
        <v>7427.2</v>
      </c>
      <c r="Z45" s="39">
        <f t="shared" si="20"/>
        <v>8136.0999999999995</v>
      </c>
      <c r="AA45" s="37">
        <f t="shared" si="20"/>
        <v>8238.7999999999993</v>
      </c>
      <c r="AB45" s="38">
        <f t="shared" si="20"/>
        <v>8133.5</v>
      </c>
      <c r="AC45" s="38">
        <f t="shared" si="20"/>
        <v>8271.5</v>
      </c>
      <c r="AD45" s="39">
        <f t="shared" si="20"/>
        <v>8628.5999999999985</v>
      </c>
      <c r="AE45" s="37">
        <f t="shared" si="20"/>
        <v>8887.8999999999978</v>
      </c>
      <c r="AF45" s="38">
        <f t="shared" si="20"/>
        <v>9161.0999999999985</v>
      </c>
      <c r="AG45" s="38">
        <f t="shared" si="20"/>
        <v>9934.1999999999989</v>
      </c>
      <c r="AH45" s="39">
        <f t="shared" si="20"/>
        <v>10456.6</v>
      </c>
      <c r="AI45" s="38">
        <f t="shared" si="20"/>
        <v>10232.1</v>
      </c>
      <c r="AJ45" s="38">
        <f t="shared" si="20"/>
        <v>9558.7000000000007</v>
      </c>
      <c r="AK45" s="38">
        <f t="shared" si="20"/>
        <v>10304.4</v>
      </c>
      <c r="AL45" s="39">
        <f t="shared" si="20"/>
        <v>10680.499999999998</v>
      </c>
      <c r="AM45" s="38">
        <f t="shared" si="20"/>
        <v>10670.2</v>
      </c>
      <c r="AN45" s="38">
        <f t="shared" si="20"/>
        <v>10812.599999999999</v>
      </c>
      <c r="AO45" s="38">
        <f t="shared" si="20"/>
        <v>10979</v>
      </c>
      <c r="AP45" s="39">
        <f t="shared" si="20"/>
        <v>10477.199999999999</v>
      </c>
      <c r="AQ45" s="38">
        <f t="shared" si="20"/>
        <v>10789.4</v>
      </c>
      <c r="AR45" s="38">
        <f t="shared" si="20"/>
        <v>11154.1</v>
      </c>
      <c r="AS45" s="38">
        <f t="shared" si="20"/>
        <v>11486.199999999997</v>
      </c>
      <c r="AT45" s="38">
        <f t="shared" si="20"/>
        <v>11534.3</v>
      </c>
      <c r="AU45" s="37">
        <f t="shared" si="20"/>
        <v>12058.9</v>
      </c>
      <c r="AV45" s="38">
        <f t="shared" ref="AV45:AW45" si="21">AV41+AV43</f>
        <v>11875.899999999998</v>
      </c>
      <c r="AW45" s="38">
        <f t="shared" si="21"/>
        <v>12147.800000000001</v>
      </c>
      <c r="AX45" s="38">
        <f t="shared" ref="AX45:AY45" si="22">AX41+AX43</f>
        <v>13321.600000000004</v>
      </c>
      <c r="AY45" s="37">
        <f t="shared" si="22"/>
        <v>13413.3</v>
      </c>
      <c r="AZ45" s="38">
        <f t="shared" ref="AZ45:BA45" si="23">AZ41+AZ43</f>
        <v>14219.8</v>
      </c>
      <c r="BA45" s="38">
        <f t="shared" si="23"/>
        <v>15262.7</v>
      </c>
      <c r="BB45" s="38">
        <f t="shared" ref="BB45:BC45" si="24">BB41+BB43</f>
        <v>15223.3</v>
      </c>
      <c r="BC45" s="37">
        <f t="shared" si="24"/>
        <v>17341</v>
      </c>
      <c r="BD45" s="38">
        <f t="shared" ref="BD45:BE45" si="25">BD41+BD43</f>
        <v>18235.5</v>
      </c>
      <c r="BE45" s="38">
        <f t="shared" si="25"/>
        <v>18595.800000000003</v>
      </c>
      <c r="BF45" s="38">
        <f t="shared" ref="BF45" si="26">BF41+BF43</f>
        <v>18618.300000000003</v>
      </c>
    </row>
    <row r="46" spans="1:58" s="17" customFormat="1" ht="11.25">
      <c r="A46" s="56"/>
      <c r="B46" s="56"/>
      <c r="C46" s="27"/>
      <c r="D46" s="28"/>
      <c r="E46" s="28"/>
      <c r="F46" s="28"/>
      <c r="G46" s="27"/>
      <c r="H46" s="28"/>
      <c r="I46" s="28"/>
      <c r="J46" s="29"/>
      <c r="K46" s="27"/>
      <c r="L46" s="28"/>
      <c r="M46" s="28"/>
      <c r="N46" s="29"/>
      <c r="O46" s="27"/>
      <c r="P46" s="28"/>
      <c r="Q46" s="28"/>
      <c r="R46" s="29"/>
      <c r="S46" s="27"/>
      <c r="T46" s="28"/>
      <c r="U46" s="28"/>
      <c r="V46" s="29"/>
      <c r="W46" s="28"/>
      <c r="X46" s="28"/>
      <c r="Y46" s="28"/>
      <c r="Z46" s="29"/>
      <c r="AA46" s="27"/>
      <c r="AB46" s="28"/>
      <c r="AC46" s="28"/>
      <c r="AD46" s="29"/>
      <c r="AE46" s="27"/>
      <c r="AF46" s="28"/>
      <c r="AG46" s="28"/>
      <c r="AH46" s="29"/>
      <c r="AI46" s="28"/>
      <c r="AJ46" s="28"/>
      <c r="AK46" s="28"/>
      <c r="AL46" s="29"/>
      <c r="AM46" s="28"/>
      <c r="AN46" s="28"/>
      <c r="AO46" s="28"/>
      <c r="AP46" s="29"/>
      <c r="AQ46" s="28"/>
      <c r="AR46" s="28"/>
      <c r="AS46" s="28"/>
      <c r="AT46" s="28"/>
      <c r="AU46" s="27"/>
      <c r="AV46" s="28"/>
      <c r="AW46" s="28"/>
      <c r="AX46" s="28"/>
      <c r="AY46" s="27"/>
      <c r="AZ46" s="28"/>
      <c r="BA46" s="28"/>
      <c r="BB46" s="28"/>
      <c r="BC46" s="27"/>
      <c r="BD46" s="28"/>
      <c r="BE46" s="28"/>
      <c r="BF46" s="28"/>
    </row>
    <row r="47" spans="1:58" s="176" customFormat="1" ht="11.25">
      <c r="A47" s="51" t="s">
        <v>207</v>
      </c>
      <c r="B47" s="51" t="s">
        <v>32</v>
      </c>
      <c r="C47" s="37">
        <f t="shared" ref="C47:AU47" si="27">C35+C45</f>
        <v>56616.9</v>
      </c>
      <c r="D47" s="38">
        <f t="shared" si="27"/>
        <v>53203.1</v>
      </c>
      <c r="E47" s="38">
        <f t="shared" si="27"/>
        <v>53246.6</v>
      </c>
      <c r="F47" s="38">
        <f t="shared" si="27"/>
        <v>52010.799999999996</v>
      </c>
      <c r="G47" s="37">
        <f t="shared" si="27"/>
        <v>60234.400000000009</v>
      </c>
      <c r="H47" s="38">
        <f t="shared" si="27"/>
        <v>60513.2</v>
      </c>
      <c r="I47" s="38">
        <f t="shared" si="27"/>
        <v>65262.599999999991</v>
      </c>
      <c r="J47" s="38">
        <f t="shared" si="27"/>
        <v>69610.5</v>
      </c>
      <c r="K47" s="37">
        <f t="shared" si="27"/>
        <v>68205.8</v>
      </c>
      <c r="L47" s="38">
        <f t="shared" si="27"/>
        <v>64516.5</v>
      </c>
      <c r="M47" s="38">
        <f t="shared" si="27"/>
        <v>64256.4</v>
      </c>
      <c r="N47" s="38">
        <f t="shared" si="27"/>
        <v>59883.399999999994</v>
      </c>
      <c r="O47" s="37">
        <f t="shared" si="27"/>
        <v>62099.1</v>
      </c>
      <c r="P47" s="38">
        <f t="shared" si="27"/>
        <v>61583</v>
      </c>
      <c r="Q47" s="38">
        <f t="shared" si="27"/>
        <v>62165.500000000007</v>
      </c>
      <c r="R47" s="38">
        <f t="shared" si="27"/>
        <v>64517.500000000007</v>
      </c>
      <c r="S47" s="37">
        <f t="shared" si="27"/>
        <v>65839.800000000017</v>
      </c>
      <c r="T47" s="38">
        <f t="shared" si="27"/>
        <v>67500.899999999994</v>
      </c>
      <c r="U47" s="38">
        <f t="shared" si="27"/>
        <v>73696.099999999991</v>
      </c>
      <c r="V47" s="38">
        <f t="shared" si="27"/>
        <v>69723.399999999994</v>
      </c>
      <c r="W47" s="37">
        <f t="shared" si="27"/>
        <v>72263.099999999991</v>
      </c>
      <c r="X47" s="38">
        <f t="shared" si="27"/>
        <v>70260.100000000006</v>
      </c>
      <c r="Y47" s="38">
        <f t="shared" si="27"/>
        <v>73637.8</v>
      </c>
      <c r="Z47" s="39">
        <f t="shared" si="27"/>
        <v>78266.8</v>
      </c>
      <c r="AA47" s="37">
        <f t="shared" si="27"/>
        <v>77753.799999999988</v>
      </c>
      <c r="AB47" s="38">
        <f t="shared" si="27"/>
        <v>81790.600000000006</v>
      </c>
      <c r="AC47" s="38">
        <f t="shared" si="27"/>
        <v>84639.5</v>
      </c>
      <c r="AD47" s="39">
        <f t="shared" si="27"/>
        <v>86750.599999999977</v>
      </c>
      <c r="AE47" s="37">
        <f t="shared" si="27"/>
        <v>92244.699999999983</v>
      </c>
      <c r="AF47" s="38">
        <f t="shared" si="27"/>
        <v>98261.800000000017</v>
      </c>
      <c r="AG47" s="38">
        <f t="shared" si="27"/>
        <v>96848.500000000015</v>
      </c>
      <c r="AH47" s="39">
        <f t="shared" si="27"/>
        <v>99860.7</v>
      </c>
      <c r="AI47" s="38">
        <f t="shared" si="27"/>
        <v>102568.30000000003</v>
      </c>
      <c r="AJ47" s="38">
        <f t="shared" si="27"/>
        <v>105318.9</v>
      </c>
      <c r="AK47" s="38">
        <f t="shared" si="27"/>
        <v>112180.69999999998</v>
      </c>
      <c r="AL47" s="39">
        <f t="shared" si="27"/>
        <v>108893.1</v>
      </c>
      <c r="AM47" s="38">
        <f t="shared" si="27"/>
        <v>112732.7</v>
      </c>
      <c r="AN47" s="38">
        <f t="shared" si="27"/>
        <v>115639.70000000001</v>
      </c>
      <c r="AO47" s="38">
        <f t="shared" si="27"/>
        <v>116550</v>
      </c>
      <c r="AP47" s="39">
        <f t="shared" si="27"/>
        <v>117477.69999999998</v>
      </c>
      <c r="AQ47" s="38">
        <f t="shared" si="27"/>
        <v>118850.5</v>
      </c>
      <c r="AR47" s="38">
        <f t="shared" si="27"/>
        <v>120197.6</v>
      </c>
      <c r="AS47" s="38">
        <f t="shared" si="27"/>
        <v>122290.00000000001</v>
      </c>
      <c r="AT47" s="38">
        <f t="shared" si="27"/>
        <v>125971.79999999999</v>
      </c>
      <c r="AU47" s="37">
        <f t="shared" si="27"/>
        <v>127549.1</v>
      </c>
      <c r="AV47" s="38">
        <f t="shared" ref="AV47:AW47" si="28">AV35+AV45</f>
        <v>131042.50000000001</v>
      </c>
      <c r="AW47" s="38">
        <f t="shared" si="28"/>
        <v>134384.29999999999</v>
      </c>
      <c r="AX47" s="38">
        <f t="shared" ref="AX47:AY47" si="29">AX35+AX45</f>
        <v>141812.9</v>
      </c>
      <c r="AY47" s="37">
        <f t="shared" si="29"/>
        <v>145717.39999999997</v>
      </c>
      <c r="AZ47" s="38">
        <f t="shared" ref="AZ47:BA47" si="30">AZ35+AZ45</f>
        <v>150909.09999999998</v>
      </c>
      <c r="BA47" s="38">
        <f t="shared" si="30"/>
        <v>156013.80000000005</v>
      </c>
      <c r="BB47" s="38">
        <f t="shared" ref="BB47:BC47" si="31">BB35+BB45</f>
        <v>158610.70000000001</v>
      </c>
      <c r="BC47" s="37">
        <f t="shared" si="31"/>
        <v>171241.60000000001</v>
      </c>
      <c r="BD47" s="38">
        <f t="shared" ref="BD47:BE47" si="32">BD35+BD45</f>
        <v>180639.3</v>
      </c>
      <c r="BE47" s="38">
        <f t="shared" si="32"/>
        <v>184859.5</v>
      </c>
      <c r="BF47" s="38">
        <f t="shared" ref="BF47" si="33">BF35+BF45</f>
        <v>186595.7</v>
      </c>
    </row>
    <row r="48" spans="1:58">
      <c r="AA48" s="184"/>
      <c r="AB48" s="184"/>
      <c r="AC48" s="184"/>
      <c r="AD48" s="184"/>
      <c r="AE48" s="184"/>
      <c r="AF48" s="184"/>
      <c r="AG48" s="184"/>
      <c r="AH48" s="184"/>
      <c r="AI48" s="184"/>
      <c r="AJ48" s="184"/>
      <c r="AK48" s="184"/>
      <c r="AL48" s="184"/>
      <c r="AM48" s="184"/>
      <c r="AN48" s="184"/>
      <c r="AO48" s="184"/>
      <c r="AP48" s="184"/>
      <c r="AQ48" s="184"/>
      <c r="AS48" s="184"/>
      <c r="AT48" s="184"/>
      <c r="AU48" s="184"/>
      <c r="AW48" s="184"/>
      <c r="AX48" s="184"/>
      <c r="AY48" s="184"/>
      <c r="BA48" s="184"/>
      <c r="BB48" s="184"/>
      <c r="BC48" s="184"/>
      <c r="BE48" s="184"/>
      <c r="BF48" s="184"/>
    </row>
  </sheetData>
  <mergeCells count="16">
    <mergeCell ref="BC2:BF2"/>
    <mergeCell ref="AY2:BB2"/>
    <mergeCell ref="AU2:AX2"/>
    <mergeCell ref="O2:R2"/>
    <mergeCell ref="A2:A3"/>
    <mergeCell ref="B2:B3"/>
    <mergeCell ref="C2:F2"/>
    <mergeCell ref="G2:J2"/>
    <mergeCell ref="K2:N2"/>
    <mergeCell ref="AQ2:AT2"/>
    <mergeCell ref="S2:V2"/>
    <mergeCell ref="W2:Z2"/>
    <mergeCell ref="AA2:AD2"/>
    <mergeCell ref="AE2:AH2"/>
    <mergeCell ref="AI2:AL2"/>
    <mergeCell ref="AM2:AP2"/>
  </mergeCells>
  <printOptions horizontalCentered="1"/>
  <pageMargins left="0.23622047244094491" right="0.23622047244094491" top="0.74803149606299213" bottom="0.74803149606299213" header="0.31496062992125984" footer="0.31496062992125984"/>
  <pageSetup paperSize="9" scale="24" orientation="landscape" r:id="rId1"/>
  <headerFooter alignWithMargins="0">
    <oddHeader xml:space="preserve">&amp;C&amp;"Times New Roman,Kursywa"&amp;12
</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82"/>
  <sheetViews>
    <sheetView showGridLines="0" view="pageBreakPreview" topLeftCell="B1" zoomScaleNormal="100" zoomScaleSheetLayoutView="100" workbookViewId="0">
      <pane xSplit="1" ySplit="4" topLeftCell="AP5" activePane="bottomRight" state="frozen"/>
      <selection activeCell="B1" sqref="B1"/>
      <selection pane="topRight" activeCell="C1" sqref="C1"/>
      <selection pane="bottomLeft" activeCell="B5" sqref="B5"/>
      <selection pane="bottomRight" activeCell="BC2" sqref="BC2:BF2"/>
    </sheetView>
  </sheetViews>
  <sheetFormatPr defaultColWidth="9.140625" defaultRowHeight="15" outlineLevelCol="1"/>
  <cols>
    <col min="1" max="1" width="57.140625" style="198" bestFit="1" customWidth="1" outlineLevel="1"/>
    <col min="2" max="2" width="60.85546875" style="197" customWidth="1"/>
    <col min="3" max="41" width="2.85546875" style="197" hidden="1" customWidth="1"/>
    <col min="42" max="46" width="8.7109375" style="198" customWidth="1"/>
    <col min="47" max="58" width="8.7109375" style="197" customWidth="1"/>
    <col min="59" max="16384" width="9.140625" style="197"/>
  </cols>
  <sheetData>
    <row r="1" spans="1:58">
      <c r="A1" s="53" t="s">
        <v>424</v>
      </c>
      <c r="B1" s="53" t="s">
        <v>425</v>
      </c>
      <c r="AX1" s="369"/>
      <c r="AY1" s="350" t="s">
        <v>901</v>
      </c>
      <c r="AZ1" s="172"/>
      <c r="BA1" s="172"/>
      <c r="BB1" s="172"/>
    </row>
    <row r="2" spans="1:58" s="200" customFormat="1">
      <c r="A2" s="678" t="s">
        <v>586</v>
      </c>
      <c r="B2" s="678" t="s">
        <v>74</v>
      </c>
      <c r="C2" s="85"/>
      <c r="D2" s="85"/>
      <c r="E2" s="85"/>
      <c r="F2" s="85"/>
      <c r="G2" s="85"/>
      <c r="H2" s="85"/>
      <c r="I2" s="85"/>
      <c r="J2" s="85"/>
      <c r="K2" s="85"/>
      <c r="L2" s="85"/>
      <c r="M2" s="85"/>
      <c r="N2" s="85"/>
      <c r="O2" s="85"/>
      <c r="P2" s="85"/>
      <c r="Q2" s="85"/>
      <c r="R2" s="85"/>
      <c r="S2" s="85"/>
      <c r="T2" s="85"/>
      <c r="U2" s="85"/>
      <c r="V2" s="85"/>
      <c r="W2" s="85"/>
      <c r="X2" s="85"/>
      <c r="Y2" s="85"/>
      <c r="Z2" s="85"/>
      <c r="AA2" s="85"/>
      <c r="AB2" s="85"/>
      <c r="AC2" s="85"/>
      <c r="AD2" s="85"/>
      <c r="AE2" s="85"/>
      <c r="AF2" s="85"/>
      <c r="AG2" s="85"/>
      <c r="AH2" s="85"/>
      <c r="AI2" s="85"/>
      <c r="AJ2" s="85"/>
      <c r="AK2" s="85"/>
      <c r="AL2" s="85"/>
      <c r="AM2" s="85"/>
      <c r="AN2" s="85"/>
      <c r="AO2" s="85"/>
      <c r="AP2" s="199">
        <v>2016</v>
      </c>
      <c r="AQ2" s="677">
        <v>2017</v>
      </c>
      <c r="AR2" s="677"/>
      <c r="AS2" s="677"/>
      <c r="AT2" s="677"/>
      <c r="AU2" s="684">
        <v>2018</v>
      </c>
      <c r="AV2" s="682"/>
      <c r="AW2" s="682"/>
      <c r="AX2" s="685"/>
      <c r="AY2" s="682">
        <v>2019</v>
      </c>
      <c r="AZ2" s="682"/>
      <c r="BA2" s="682"/>
      <c r="BB2" s="683"/>
      <c r="BC2" s="679">
        <v>2020</v>
      </c>
      <c r="BD2" s="680"/>
      <c r="BE2" s="680"/>
      <c r="BF2" s="681"/>
    </row>
    <row r="3" spans="1:58" s="200" customFormat="1">
      <c r="A3" s="678"/>
      <c r="B3" s="678"/>
      <c r="C3" s="85"/>
      <c r="D3" s="85"/>
      <c r="E3" s="85"/>
      <c r="F3" s="85"/>
      <c r="G3" s="85"/>
      <c r="H3" s="85"/>
      <c r="I3" s="85"/>
      <c r="J3" s="85"/>
      <c r="K3" s="85"/>
      <c r="L3" s="85"/>
      <c r="M3" s="85"/>
      <c r="N3" s="85"/>
      <c r="O3" s="85"/>
      <c r="P3" s="85"/>
      <c r="Q3" s="85"/>
      <c r="R3" s="85"/>
      <c r="S3" s="85"/>
      <c r="T3" s="85"/>
      <c r="U3" s="85"/>
      <c r="V3" s="85"/>
      <c r="W3" s="85"/>
      <c r="X3" s="85"/>
      <c r="Y3" s="85"/>
      <c r="Z3" s="85"/>
      <c r="AA3" s="85"/>
      <c r="AB3" s="85"/>
      <c r="AC3" s="85"/>
      <c r="AD3" s="85"/>
      <c r="AE3" s="85"/>
      <c r="AF3" s="85"/>
      <c r="AG3" s="85"/>
      <c r="AH3" s="85"/>
      <c r="AI3" s="85"/>
      <c r="AJ3" s="85"/>
      <c r="AK3" s="85"/>
      <c r="AL3" s="85"/>
      <c r="AM3" s="85"/>
      <c r="AN3" s="85"/>
      <c r="AO3" s="85"/>
      <c r="AP3" s="201" t="s">
        <v>152</v>
      </c>
      <c r="AQ3" s="202" t="s">
        <v>149</v>
      </c>
      <c r="AR3" s="202" t="s">
        <v>150</v>
      </c>
      <c r="AS3" s="202" t="s">
        <v>151</v>
      </c>
      <c r="AT3" s="202" t="s">
        <v>152</v>
      </c>
      <c r="AU3" s="308" t="s">
        <v>149</v>
      </c>
      <c r="AV3" s="202" t="s">
        <v>150</v>
      </c>
      <c r="AW3" s="202" t="s">
        <v>151</v>
      </c>
      <c r="AX3" s="363" t="s">
        <v>152</v>
      </c>
      <c r="AY3" s="364" t="s">
        <v>149</v>
      </c>
      <c r="AZ3" s="202" t="s">
        <v>150</v>
      </c>
      <c r="BA3" s="202" t="s">
        <v>151</v>
      </c>
      <c r="BB3" s="202" t="s">
        <v>152</v>
      </c>
      <c r="BC3" s="308" t="s">
        <v>149</v>
      </c>
      <c r="BD3" s="202" t="s">
        <v>150</v>
      </c>
      <c r="BE3" s="202" t="s">
        <v>151</v>
      </c>
      <c r="BF3" s="202" t="s">
        <v>152</v>
      </c>
    </row>
    <row r="4" spans="1:58" s="244" customFormat="1" ht="22.5">
      <c r="A4" s="203" t="s">
        <v>154</v>
      </c>
      <c r="B4" s="204" t="s">
        <v>11</v>
      </c>
      <c r="C4" s="205"/>
      <c r="D4" s="203"/>
      <c r="E4" s="203"/>
      <c r="F4" s="203"/>
      <c r="G4" s="203"/>
      <c r="H4" s="203"/>
      <c r="I4" s="203"/>
      <c r="J4" s="203"/>
      <c r="K4" s="203"/>
      <c r="L4" s="203"/>
      <c r="M4" s="203"/>
      <c r="N4" s="203"/>
      <c r="O4" s="203"/>
      <c r="P4" s="203"/>
      <c r="Q4" s="203"/>
      <c r="R4" s="203"/>
      <c r="S4" s="203"/>
      <c r="T4" s="203"/>
      <c r="U4" s="203"/>
      <c r="V4" s="203"/>
      <c r="W4" s="203"/>
      <c r="X4" s="203"/>
      <c r="Y4" s="203"/>
      <c r="Z4" s="203"/>
      <c r="AA4" s="203"/>
      <c r="AB4" s="203"/>
      <c r="AC4" s="203"/>
      <c r="AD4" s="203"/>
      <c r="AE4" s="203"/>
      <c r="AF4" s="203"/>
      <c r="AG4" s="203"/>
      <c r="AH4" s="203"/>
      <c r="AI4" s="203"/>
      <c r="AJ4" s="203"/>
      <c r="AK4" s="203"/>
      <c r="AL4" s="203"/>
      <c r="AM4" s="203"/>
      <c r="AN4" s="203"/>
      <c r="AO4" s="203"/>
      <c r="AP4" s="242" t="s">
        <v>725</v>
      </c>
      <c r="AQ4" s="243" t="s">
        <v>725</v>
      </c>
      <c r="AR4" s="243" t="s">
        <v>725</v>
      </c>
      <c r="AS4" s="243" t="s">
        <v>725</v>
      </c>
      <c r="AT4" s="243" t="s">
        <v>725</v>
      </c>
      <c r="AU4" s="309" t="s">
        <v>726</v>
      </c>
      <c r="AV4" s="243" t="s">
        <v>726</v>
      </c>
      <c r="AW4" s="243" t="s">
        <v>726</v>
      </c>
      <c r="AX4" s="365" t="s">
        <v>726</v>
      </c>
      <c r="AY4" s="366" t="s">
        <v>726</v>
      </c>
      <c r="AZ4" s="243" t="s">
        <v>726</v>
      </c>
      <c r="BA4" s="243" t="s">
        <v>726</v>
      </c>
      <c r="BB4" s="243" t="s">
        <v>726</v>
      </c>
      <c r="BC4" s="309" t="s">
        <v>726</v>
      </c>
      <c r="BD4" s="243" t="s">
        <v>726</v>
      </c>
      <c r="BE4" s="243" t="s">
        <v>726</v>
      </c>
      <c r="BF4" s="243" t="s">
        <v>726</v>
      </c>
    </row>
    <row r="5" spans="1:58" s="244" customFormat="1" ht="11.25">
      <c r="A5" s="206" t="s">
        <v>587</v>
      </c>
      <c r="B5" s="207" t="s">
        <v>588</v>
      </c>
      <c r="C5" s="208"/>
      <c r="D5" s="209"/>
      <c r="E5" s="209"/>
      <c r="F5" s="209"/>
      <c r="G5" s="209"/>
      <c r="H5" s="209"/>
      <c r="I5" s="209"/>
      <c r="J5" s="209"/>
      <c r="K5" s="209"/>
      <c r="L5" s="209"/>
      <c r="M5" s="209"/>
      <c r="N5" s="209"/>
      <c r="O5" s="209"/>
      <c r="P5" s="209"/>
      <c r="Q5" s="209"/>
      <c r="R5" s="209"/>
      <c r="S5" s="209"/>
      <c r="T5" s="209"/>
      <c r="U5" s="209"/>
      <c r="V5" s="209"/>
      <c r="W5" s="209"/>
      <c r="X5" s="209"/>
      <c r="Y5" s="209"/>
      <c r="Z5" s="209"/>
      <c r="AA5" s="209"/>
      <c r="AB5" s="209"/>
      <c r="AC5" s="209"/>
      <c r="AD5" s="209"/>
      <c r="AE5" s="209"/>
      <c r="AF5" s="209"/>
      <c r="AG5" s="209"/>
      <c r="AH5" s="209"/>
      <c r="AI5" s="209"/>
      <c r="AJ5" s="209"/>
      <c r="AK5" s="209"/>
      <c r="AL5" s="209"/>
      <c r="AM5" s="209"/>
      <c r="AN5" s="209"/>
      <c r="AO5" s="209"/>
      <c r="AP5" s="100">
        <f t="shared" ref="AP5:AU5" si="0">AP60</f>
        <v>81979.5</v>
      </c>
      <c r="AQ5" s="99">
        <f t="shared" si="0"/>
        <v>84399.5</v>
      </c>
      <c r="AR5" s="99">
        <f t="shared" si="0"/>
        <v>86922.299999999988</v>
      </c>
      <c r="AS5" s="99">
        <f t="shared" si="0"/>
        <v>90106.999999999985</v>
      </c>
      <c r="AT5" s="99">
        <f t="shared" si="0"/>
        <v>87274.6</v>
      </c>
      <c r="AU5" s="551">
        <f t="shared" si="0"/>
        <v>90028.2</v>
      </c>
      <c r="AV5" s="552">
        <f t="shared" ref="AV5:BA5" si="1">AV60</f>
        <v>94475.3</v>
      </c>
      <c r="AW5" s="552">
        <f t="shared" si="1"/>
        <v>98986</v>
      </c>
      <c r="AX5" s="553">
        <f t="shared" si="1"/>
        <v>102907.40000000001</v>
      </c>
      <c r="AY5" s="554">
        <f t="shared" si="1"/>
        <v>107181.3</v>
      </c>
      <c r="AZ5" s="552">
        <f t="shared" si="1"/>
        <v>110316.40000000001</v>
      </c>
      <c r="BA5" s="552">
        <f t="shared" si="1"/>
        <v>115551</v>
      </c>
      <c r="BB5" s="552">
        <f t="shared" ref="BB5:BC5" si="2">BB60</f>
        <v>118127.79999999999</v>
      </c>
      <c r="BC5" s="551">
        <f t="shared" si="2"/>
        <v>123459.7</v>
      </c>
      <c r="BD5" s="552">
        <f t="shared" ref="BD5:BF5" si="3">BD60</f>
        <v>120598.09999999998</v>
      </c>
      <c r="BE5" s="552">
        <f t="shared" si="3"/>
        <v>122382</v>
      </c>
      <c r="BF5" s="552">
        <f t="shared" si="3"/>
        <v>124655.29999999999</v>
      </c>
    </row>
    <row r="6" spans="1:58" s="244" customFormat="1" ht="11.25">
      <c r="A6" s="206" t="s">
        <v>589</v>
      </c>
      <c r="B6" s="207" t="s">
        <v>590</v>
      </c>
      <c r="C6" s="208"/>
      <c r="D6" s="209"/>
      <c r="E6" s="209"/>
      <c r="F6" s="209"/>
      <c r="G6" s="209"/>
      <c r="H6" s="209"/>
      <c r="I6" s="209"/>
      <c r="J6" s="209"/>
      <c r="K6" s="209"/>
      <c r="L6" s="209"/>
      <c r="M6" s="209"/>
      <c r="N6" s="209"/>
      <c r="O6" s="209"/>
      <c r="P6" s="209"/>
      <c r="Q6" s="209"/>
      <c r="R6" s="209"/>
      <c r="S6" s="209"/>
      <c r="T6" s="209"/>
      <c r="U6" s="209"/>
      <c r="V6" s="209"/>
      <c r="W6" s="209"/>
      <c r="X6" s="209"/>
      <c r="Y6" s="209"/>
      <c r="Z6" s="209"/>
      <c r="AA6" s="209"/>
      <c r="AB6" s="209"/>
      <c r="AC6" s="209"/>
      <c r="AD6" s="209"/>
      <c r="AE6" s="209"/>
      <c r="AF6" s="209"/>
      <c r="AG6" s="209"/>
      <c r="AH6" s="209"/>
      <c r="AI6" s="209"/>
      <c r="AJ6" s="209"/>
      <c r="AK6" s="209"/>
      <c r="AL6" s="209"/>
      <c r="AM6" s="209"/>
      <c r="AN6" s="209"/>
      <c r="AO6" s="209"/>
      <c r="AP6" s="100" t="s">
        <v>332</v>
      </c>
      <c r="AQ6" s="99" t="s">
        <v>332</v>
      </c>
      <c r="AR6" s="99" t="s">
        <v>332</v>
      </c>
      <c r="AS6" s="99" t="s">
        <v>332</v>
      </c>
      <c r="AT6" s="99" t="s">
        <v>332</v>
      </c>
      <c r="AU6" s="551">
        <v>262.3</v>
      </c>
      <c r="AV6" s="552">
        <v>249</v>
      </c>
      <c r="AW6" s="552">
        <v>237.8</v>
      </c>
      <c r="AX6" s="553">
        <v>218.4</v>
      </c>
      <c r="AY6" s="554">
        <v>206.1</v>
      </c>
      <c r="AZ6" s="552">
        <v>193.4</v>
      </c>
      <c r="BA6" s="552">
        <v>177.9</v>
      </c>
      <c r="BB6" s="552">
        <v>160.30000000000001</v>
      </c>
      <c r="BC6" s="551">
        <v>148.69999999999999</v>
      </c>
      <c r="BD6" s="552">
        <v>233.4</v>
      </c>
      <c r="BE6" s="552">
        <v>219.8</v>
      </c>
      <c r="BF6" s="552">
        <v>106.2</v>
      </c>
    </row>
    <row r="7" spans="1:58" s="245" customFormat="1" ht="11.25">
      <c r="A7" s="210" t="s">
        <v>255</v>
      </c>
      <c r="B7" s="211" t="s">
        <v>87</v>
      </c>
      <c r="C7" s="212"/>
      <c r="D7" s="210"/>
      <c r="E7" s="210"/>
      <c r="F7" s="210"/>
      <c r="G7" s="210"/>
      <c r="H7" s="210"/>
      <c r="I7" s="210"/>
      <c r="J7" s="210"/>
      <c r="K7" s="210"/>
      <c r="L7" s="210"/>
      <c r="M7" s="210"/>
      <c r="N7" s="210"/>
      <c r="O7" s="210"/>
      <c r="P7" s="210"/>
      <c r="Q7" s="210"/>
      <c r="R7" s="210"/>
      <c r="S7" s="210"/>
      <c r="T7" s="210"/>
      <c r="U7" s="210"/>
      <c r="V7" s="210"/>
      <c r="W7" s="210"/>
      <c r="X7" s="210"/>
      <c r="Y7" s="210"/>
      <c r="Z7" s="210"/>
      <c r="AA7" s="210"/>
      <c r="AB7" s="210"/>
      <c r="AC7" s="210"/>
      <c r="AD7" s="210"/>
      <c r="AE7" s="210"/>
      <c r="AF7" s="210"/>
      <c r="AG7" s="210"/>
      <c r="AH7" s="210"/>
      <c r="AI7" s="210"/>
      <c r="AJ7" s="210"/>
      <c r="AK7" s="210"/>
      <c r="AL7" s="210"/>
      <c r="AM7" s="210"/>
      <c r="AN7" s="210"/>
      <c r="AO7" s="210"/>
      <c r="AP7" s="101">
        <f>SUM(AP5:AP6)</f>
        <v>81979.5</v>
      </c>
      <c r="AQ7" s="96">
        <f t="shared" ref="AQ7:AV7" si="4">SUM(AQ5:AQ6)</f>
        <v>84399.5</v>
      </c>
      <c r="AR7" s="96">
        <f t="shared" si="4"/>
        <v>86922.299999999988</v>
      </c>
      <c r="AS7" s="96">
        <f t="shared" si="4"/>
        <v>90106.999999999985</v>
      </c>
      <c r="AT7" s="96">
        <f t="shared" si="4"/>
        <v>87274.6</v>
      </c>
      <c r="AU7" s="310">
        <f t="shared" si="4"/>
        <v>90290.5</v>
      </c>
      <c r="AV7" s="96">
        <f t="shared" si="4"/>
        <v>94724.3</v>
      </c>
      <c r="AW7" s="96">
        <f t="shared" ref="AW7:AY7" si="5">SUM(AW5:AW6)</f>
        <v>99223.8</v>
      </c>
      <c r="AX7" s="367">
        <f t="shared" si="5"/>
        <v>103125.8</v>
      </c>
      <c r="AY7" s="368">
        <f t="shared" si="5"/>
        <v>107387.40000000001</v>
      </c>
      <c r="AZ7" s="96">
        <f t="shared" ref="AZ7:BA7" si="6">SUM(AZ5:AZ6)</f>
        <v>110509.8</v>
      </c>
      <c r="BA7" s="96">
        <f t="shared" si="6"/>
        <v>115728.9</v>
      </c>
      <c r="BB7" s="96">
        <f t="shared" ref="BB7:BC7" si="7">SUM(BB5:BB6)</f>
        <v>118288.09999999999</v>
      </c>
      <c r="BC7" s="310">
        <f t="shared" si="7"/>
        <v>123608.4</v>
      </c>
      <c r="BD7" s="96">
        <f t="shared" ref="BD7:BE7" si="8">SUM(BD5:BD6)</f>
        <v>120831.49999999997</v>
      </c>
      <c r="BE7" s="96">
        <f t="shared" si="8"/>
        <v>122601.8</v>
      </c>
      <c r="BF7" s="96">
        <f t="shared" ref="BF7" si="9">SUM(BF5:BF6)</f>
        <v>124761.49999999999</v>
      </c>
    </row>
    <row r="8" spans="1:58" s="244" customFormat="1" ht="11.25">
      <c r="A8" s="246"/>
      <c r="B8" s="246"/>
      <c r="C8" s="246"/>
      <c r="D8" s="246"/>
      <c r="E8" s="246"/>
      <c r="F8" s="246"/>
      <c r="G8" s="246"/>
      <c r="H8" s="246"/>
      <c r="I8" s="246"/>
      <c r="J8" s="246"/>
      <c r="K8" s="246"/>
      <c r="L8" s="246"/>
      <c r="M8" s="246"/>
      <c r="N8" s="246"/>
      <c r="O8" s="246"/>
      <c r="P8" s="246"/>
      <c r="Q8" s="246"/>
      <c r="R8" s="246"/>
      <c r="S8" s="246"/>
      <c r="T8" s="246"/>
      <c r="U8" s="246"/>
      <c r="V8" s="246"/>
      <c r="W8" s="246"/>
      <c r="X8" s="246"/>
      <c r="Y8" s="246"/>
      <c r="Z8" s="246"/>
      <c r="AA8" s="246"/>
      <c r="AB8" s="246"/>
      <c r="AC8" s="246"/>
      <c r="AD8" s="246"/>
      <c r="AE8" s="246"/>
      <c r="AF8" s="246"/>
      <c r="AG8" s="246"/>
      <c r="AH8" s="246"/>
      <c r="AI8" s="246"/>
      <c r="AJ8" s="246"/>
      <c r="AK8" s="246"/>
      <c r="AL8" s="246"/>
      <c r="AM8" s="246"/>
      <c r="AN8" s="246"/>
      <c r="AO8" s="246"/>
      <c r="AP8" s="246"/>
      <c r="AQ8" s="246"/>
      <c r="AR8" s="246"/>
      <c r="AS8" s="246"/>
      <c r="AT8" s="246"/>
      <c r="AU8" s="311"/>
      <c r="AV8" s="246"/>
      <c r="AW8" s="246"/>
      <c r="AX8" s="369"/>
      <c r="AY8" s="370"/>
      <c r="AZ8" s="246"/>
      <c r="BA8" s="246"/>
      <c r="BB8" s="246"/>
      <c r="BC8" s="311"/>
      <c r="BD8" s="246"/>
      <c r="BE8" s="246"/>
      <c r="BF8" s="246"/>
    </row>
    <row r="9" spans="1:58" s="200" customFormat="1">
      <c r="A9" s="675" t="s">
        <v>591</v>
      </c>
      <c r="B9" s="676" t="s">
        <v>592</v>
      </c>
      <c r="C9" s="97"/>
      <c r="D9" s="98"/>
      <c r="E9" s="98"/>
      <c r="F9" s="98"/>
      <c r="G9" s="98"/>
      <c r="H9" s="98"/>
      <c r="I9" s="98"/>
      <c r="J9" s="98"/>
      <c r="K9" s="98"/>
      <c r="L9" s="98"/>
      <c r="M9" s="98"/>
      <c r="N9" s="98"/>
      <c r="O9" s="98"/>
      <c r="P9" s="98"/>
      <c r="Q9" s="98"/>
      <c r="R9" s="98"/>
      <c r="S9" s="98"/>
      <c r="T9" s="98"/>
      <c r="U9" s="98"/>
      <c r="V9" s="98"/>
      <c r="W9" s="98"/>
      <c r="X9" s="98"/>
      <c r="Y9" s="98"/>
      <c r="Z9" s="98"/>
      <c r="AA9" s="98"/>
      <c r="AB9" s="98"/>
      <c r="AC9" s="98"/>
      <c r="AD9" s="98"/>
      <c r="AE9" s="98"/>
      <c r="AF9" s="98"/>
      <c r="AG9" s="98"/>
      <c r="AH9" s="98"/>
      <c r="AI9" s="98"/>
      <c r="AJ9" s="98"/>
      <c r="AK9" s="98"/>
      <c r="AL9" s="98"/>
      <c r="AM9" s="98"/>
      <c r="AN9" s="98"/>
      <c r="AO9" s="98"/>
      <c r="AP9" s="199">
        <v>2016</v>
      </c>
      <c r="AQ9" s="677">
        <v>2017</v>
      </c>
      <c r="AR9" s="677"/>
      <c r="AS9" s="677"/>
      <c r="AT9" s="677"/>
      <c r="AU9" s="684">
        <v>2018</v>
      </c>
      <c r="AV9" s="682"/>
      <c r="AW9" s="682"/>
      <c r="AX9" s="685"/>
      <c r="AY9" s="682">
        <v>2019</v>
      </c>
      <c r="AZ9" s="682"/>
      <c r="BA9" s="682"/>
      <c r="BB9" s="683"/>
      <c r="BC9" s="679">
        <v>2020</v>
      </c>
      <c r="BD9" s="680"/>
      <c r="BE9" s="680"/>
      <c r="BF9" s="681"/>
    </row>
    <row r="10" spans="1:58" s="200" customFormat="1">
      <c r="A10" s="675"/>
      <c r="B10" s="676"/>
      <c r="C10" s="97"/>
      <c r="D10" s="98"/>
      <c r="E10" s="98"/>
      <c r="F10" s="98"/>
      <c r="G10" s="98"/>
      <c r="H10" s="98"/>
      <c r="I10" s="98"/>
      <c r="J10" s="98"/>
      <c r="K10" s="98"/>
      <c r="L10" s="98"/>
      <c r="M10" s="98"/>
      <c r="N10" s="98"/>
      <c r="O10" s="98"/>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AP10" s="201" t="s">
        <v>152</v>
      </c>
      <c r="AQ10" s="202" t="s">
        <v>149</v>
      </c>
      <c r="AR10" s="202" t="s">
        <v>150</v>
      </c>
      <c r="AS10" s="202" t="s">
        <v>151</v>
      </c>
      <c r="AT10" s="202" t="s">
        <v>152</v>
      </c>
      <c r="AU10" s="308" t="s">
        <v>149</v>
      </c>
      <c r="AV10" s="202" t="s">
        <v>150</v>
      </c>
      <c r="AW10" s="202" t="s">
        <v>151</v>
      </c>
      <c r="AX10" s="363" t="s">
        <v>152</v>
      </c>
      <c r="AY10" s="364" t="s">
        <v>149</v>
      </c>
      <c r="AZ10" s="202" t="s">
        <v>150</v>
      </c>
      <c r="BA10" s="202" t="s">
        <v>151</v>
      </c>
      <c r="BB10" s="202" t="s">
        <v>152</v>
      </c>
      <c r="BC10" s="308" t="s">
        <v>149</v>
      </c>
      <c r="BD10" s="202" t="s">
        <v>150</v>
      </c>
      <c r="BE10" s="202" t="s">
        <v>151</v>
      </c>
      <c r="BF10" s="202" t="s">
        <v>152</v>
      </c>
    </row>
    <row r="11" spans="1:58" s="244" customFormat="1" ht="6" customHeight="1">
      <c r="A11" s="213"/>
      <c r="B11" s="214"/>
      <c r="C11" s="215"/>
      <c r="D11" s="213"/>
      <c r="E11" s="213"/>
      <c r="F11" s="213"/>
      <c r="G11" s="213"/>
      <c r="H11" s="213"/>
      <c r="I11" s="213"/>
      <c r="J11" s="213"/>
      <c r="K11" s="213"/>
      <c r="L11" s="213"/>
      <c r="M11" s="213"/>
      <c r="N11" s="213"/>
      <c r="O11" s="213"/>
      <c r="P11" s="213"/>
      <c r="Q11" s="213"/>
      <c r="R11" s="213"/>
      <c r="S11" s="213"/>
      <c r="T11" s="213"/>
      <c r="U11" s="213"/>
      <c r="V11" s="213"/>
      <c r="W11" s="213"/>
      <c r="X11" s="213"/>
      <c r="Y11" s="213"/>
      <c r="Z11" s="213"/>
      <c r="AA11" s="213"/>
      <c r="AB11" s="213"/>
      <c r="AC11" s="213"/>
      <c r="AD11" s="213"/>
      <c r="AE11" s="213"/>
      <c r="AF11" s="213"/>
      <c r="AG11" s="213"/>
      <c r="AH11" s="213"/>
      <c r="AI11" s="213"/>
      <c r="AJ11" s="213"/>
      <c r="AK11" s="213"/>
      <c r="AL11" s="213"/>
      <c r="AM11" s="213"/>
      <c r="AN11" s="213"/>
      <c r="AO11" s="213"/>
      <c r="AP11" s="247"/>
      <c r="AQ11" s="248"/>
      <c r="AR11" s="248"/>
      <c r="AS11" s="248"/>
      <c r="AT11" s="248"/>
      <c r="AU11" s="312"/>
      <c r="AV11" s="248"/>
      <c r="AW11" s="248"/>
      <c r="AX11" s="371"/>
      <c r="AY11" s="372"/>
      <c r="AZ11" s="248"/>
      <c r="BA11" s="248"/>
      <c r="BB11" s="248"/>
      <c r="BC11" s="312"/>
      <c r="BD11" s="248"/>
      <c r="BE11" s="248"/>
      <c r="BF11" s="248"/>
    </row>
    <row r="12" spans="1:58" s="245" customFormat="1" ht="11.25">
      <c r="A12" s="216" t="s">
        <v>728</v>
      </c>
      <c r="B12" s="217" t="s">
        <v>727</v>
      </c>
      <c r="C12" s="218"/>
      <c r="D12" s="216"/>
      <c r="E12" s="216"/>
      <c r="F12" s="216"/>
      <c r="G12" s="216"/>
      <c r="H12" s="216"/>
      <c r="I12" s="216"/>
      <c r="J12" s="216"/>
      <c r="K12" s="216"/>
      <c r="L12" s="216"/>
      <c r="M12" s="216"/>
      <c r="N12" s="216"/>
      <c r="O12" s="216"/>
      <c r="P12" s="216"/>
      <c r="Q12" s="216"/>
      <c r="R12" s="216"/>
      <c r="S12" s="216"/>
      <c r="T12" s="216"/>
      <c r="U12" s="216"/>
      <c r="V12" s="216"/>
      <c r="W12" s="216"/>
      <c r="X12" s="216"/>
      <c r="Y12" s="216"/>
      <c r="Z12" s="216"/>
      <c r="AA12" s="216"/>
      <c r="AB12" s="216"/>
      <c r="AC12" s="216"/>
      <c r="AD12" s="216"/>
      <c r="AE12" s="216"/>
      <c r="AF12" s="216"/>
      <c r="AG12" s="216"/>
      <c r="AH12" s="216"/>
      <c r="AI12" s="216"/>
      <c r="AJ12" s="216"/>
      <c r="AK12" s="216"/>
      <c r="AL12" s="216"/>
      <c r="AM12" s="216"/>
      <c r="AN12" s="216"/>
      <c r="AO12" s="216"/>
      <c r="AP12" s="219">
        <f t="shared" ref="AP12:AU12" si="10">SUM(AP14,AP30)</f>
        <v>83447.199999999997</v>
      </c>
      <c r="AQ12" s="220">
        <f t="shared" si="10"/>
        <v>85915.6</v>
      </c>
      <c r="AR12" s="220">
        <f t="shared" si="10"/>
        <v>88458.2</v>
      </c>
      <c r="AS12" s="220">
        <f t="shared" si="10"/>
        <v>91699.7</v>
      </c>
      <c r="AT12" s="220">
        <f t="shared" si="10"/>
        <v>88942.1</v>
      </c>
      <c r="AU12" s="313">
        <f t="shared" si="10"/>
        <v>92114.4</v>
      </c>
      <c r="AV12" s="220">
        <f t="shared" ref="AV12:AW12" si="11">SUM(AV14,AV30)</f>
        <v>96711.299999999988</v>
      </c>
      <c r="AW12" s="220">
        <f t="shared" si="11"/>
        <v>101189.90000000001</v>
      </c>
      <c r="AX12" s="373">
        <f t="shared" ref="AX12:AY12" si="12">SUM(AX14,AX30)</f>
        <v>105177.40000000001</v>
      </c>
      <c r="AY12" s="374">
        <f t="shared" si="12"/>
        <v>109465.7</v>
      </c>
      <c r="AZ12" s="220">
        <f t="shared" ref="AZ12:BA12" si="13">SUM(AZ14,AZ30)</f>
        <v>112739.2</v>
      </c>
      <c r="BA12" s="220">
        <f t="shared" si="13"/>
        <v>118085.90000000001</v>
      </c>
      <c r="BB12" s="220">
        <f t="shared" ref="BB12:BC12" si="14">SUM(BB14,BB30)</f>
        <v>120573.79999999999</v>
      </c>
      <c r="BC12" s="220">
        <f t="shared" si="14"/>
        <v>126225.9</v>
      </c>
      <c r="BD12" s="220">
        <f t="shared" ref="BD12:BE12" si="15">SUM(BD14,BD30)</f>
        <v>123646.2</v>
      </c>
      <c r="BE12" s="220">
        <f t="shared" si="15"/>
        <v>125567.8</v>
      </c>
      <c r="BF12" s="220">
        <f t="shared" ref="BF12" si="16">SUM(BF14,BF30)</f>
        <v>127925.7</v>
      </c>
    </row>
    <row r="13" spans="1:58" s="244" customFormat="1" ht="6" customHeight="1">
      <c r="A13" s="213"/>
      <c r="B13" s="214"/>
      <c r="C13" s="215"/>
      <c r="D13" s="213"/>
      <c r="E13" s="213"/>
      <c r="F13" s="213"/>
      <c r="G13" s="213"/>
      <c r="H13" s="213"/>
      <c r="I13" s="213"/>
      <c r="J13" s="213"/>
      <c r="K13" s="213"/>
      <c r="L13" s="213"/>
      <c r="M13" s="213"/>
      <c r="N13" s="213"/>
      <c r="O13" s="213"/>
      <c r="P13" s="213"/>
      <c r="Q13" s="213"/>
      <c r="R13" s="213"/>
      <c r="S13" s="213"/>
      <c r="T13" s="213"/>
      <c r="U13" s="213"/>
      <c r="V13" s="213"/>
      <c r="W13" s="213"/>
      <c r="X13" s="213"/>
      <c r="Y13" s="213"/>
      <c r="Z13" s="213"/>
      <c r="AA13" s="213"/>
      <c r="AB13" s="213"/>
      <c r="AC13" s="213"/>
      <c r="AD13" s="213"/>
      <c r="AE13" s="213"/>
      <c r="AF13" s="213"/>
      <c r="AG13" s="213"/>
      <c r="AH13" s="213"/>
      <c r="AI13" s="213"/>
      <c r="AJ13" s="213"/>
      <c r="AK13" s="213"/>
      <c r="AL13" s="213"/>
      <c r="AM13" s="213"/>
      <c r="AN13" s="213"/>
      <c r="AO13" s="213"/>
      <c r="AP13" s="247"/>
      <c r="AQ13" s="248"/>
      <c r="AR13" s="248"/>
      <c r="AS13" s="248"/>
      <c r="AT13" s="248"/>
      <c r="AU13" s="312"/>
      <c r="AV13" s="248"/>
      <c r="AW13" s="248"/>
      <c r="AX13" s="371"/>
      <c r="AY13" s="372"/>
      <c r="AZ13" s="248"/>
      <c r="BA13" s="248"/>
      <c r="BB13" s="248"/>
      <c r="BC13" s="312"/>
      <c r="BD13" s="248"/>
      <c r="BE13" s="248"/>
      <c r="BF13" s="248"/>
    </row>
    <row r="14" spans="1:58" s="245" customFormat="1" ht="11.25">
      <c r="A14" s="221" t="s">
        <v>729</v>
      </c>
      <c r="B14" s="222" t="s">
        <v>730</v>
      </c>
      <c r="C14" s="223"/>
      <c r="D14" s="221"/>
      <c r="E14" s="221"/>
      <c r="F14" s="221"/>
      <c r="G14" s="221"/>
      <c r="H14" s="221"/>
      <c r="I14" s="221"/>
      <c r="J14" s="221"/>
      <c r="K14" s="221"/>
      <c r="L14" s="221"/>
      <c r="M14" s="221"/>
      <c r="N14" s="221"/>
      <c r="O14" s="221"/>
      <c r="P14" s="221"/>
      <c r="Q14" s="221"/>
      <c r="R14" s="221"/>
      <c r="S14" s="221"/>
      <c r="T14" s="221"/>
      <c r="U14" s="221"/>
      <c r="V14" s="221"/>
      <c r="W14" s="221"/>
      <c r="X14" s="221"/>
      <c r="Y14" s="221"/>
      <c r="Z14" s="221"/>
      <c r="AA14" s="221"/>
      <c r="AB14" s="221"/>
      <c r="AC14" s="221"/>
      <c r="AD14" s="221"/>
      <c r="AE14" s="221"/>
      <c r="AF14" s="221"/>
      <c r="AG14" s="221"/>
      <c r="AH14" s="221"/>
      <c r="AI14" s="221"/>
      <c r="AJ14" s="221"/>
      <c r="AK14" s="221"/>
      <c r="AL14" s="221"/>
      <c r="AM14" s="221"/>
      <c r="AN14" s="221"/>
      <c r="AO14" s="221"/>
      <c r="AP14" s="224">
        <f>SUM(AP15:AP17)</f>
        <v>79100.599999999991</v>
      </c>
      <c r="AQ14" s="225">
        <f t="shared" ref="AQ14:AU14" si="17">SUM(AQ15:AQ17)</f>
        <v>81785.8</v>
      </c>
      <c r="AR14" s="225">
        <f t="shared" si="17"/>
        <v>84277.2</v>
      </c>
      <c r="AS14" s="225">
        <f t="shared" si="17"/>
        <v>87356.3</v>
      </c>
      <c r="AT14" s="225">
        <f t="shared" si="17"/>
        <v>88223.1</v>
      </c>
      <c r="AU14" s="314">
        <f t="shared" si="17"/>
        <v>91367.2</v>
      </c>
      <c r="AV14" s="225">
        <f t="shared" ref="AV14:AW14" si="18">SUM(AV15:AV17)</f>
        <v>95902.299999999988</v>
      </c>
      <c r="AW14" s="225">
        <f t="shared" si="18"/>
        <v>100398.8</v>
      </c>
      <c r="AX14" s="375">
        <f t="shared" ref="AX14:AY14" si="19">SUM(AX15:AX17)</f>
        <v>104226.8</v>
      </c>
      <c r="AY14" s="376">
        <f t="shared" si="19"/>
        <v>108238.7</v>
      </c>
      <c r="AZ14" s="225">
        <f t="shared" ref="AZ14:BA14" si="20">SUM(AZ15:AZ17)</f>
        <v>111280</v>
      </c>
      <c r="BA14" s="225">
        <f t="shared" si="20"/>
        <v>116205.50000000001</v>
      </c>
      <c r="BB14" s="225">
        <f t="shared" ref="BB14:BC14" si="21">SUM(BB15:BB17)</f>
        <v>118276.99999999999</v>
      </c>
      <c r="BC14" s="225">
        <f t="shared" si="21"/>
        <v>123869.2</v>
      </c>
      <c r="BD14" s="225">
        <f t="shared" ref="BD14:BE14" si="22">SUM(BD15:BD17)</f>
        <v>121463.2</v>
      </c>
      <c r="BE14" s="225">
        <f t="shared" si="22"/>
        <v>123745.2</v>
      </c>
      <c r="BF14" s="225">
        <f t="shared" ref="BF14" si="23">SUM(BF15:BF17)</f>
        <v>125992.4</v>
      </c>
    </row>
    <row r="15" spans="1:58" s="244" customFormat="1" ht="11.25">
      <c r="A15" s="226" t="s">
        <v>593</v>
      </c>
      <c r="B15" s="227" t="s">
        <v>594</v>
      </c>
      <c r="C15" s="228"/>
      <c r="D15" s="226"/>
      <c r="E15" s="226"/>
      <c r="F15" s="226"/>
      <c r="G15" s="226"/>
      <c r="H15" s="226"/>
      <c r="I15" s="226"/>
      <c r="J15" s="226"/>
      <c r="K15" s="226"/>
      <c r="L15" s="226"/>
      <c r="M15" s="226"/>
      <c r="N15" s="226"/>
      <c r="O15" s="226"/>
      <c r="P15" s="226"/>
      <c r="Q15" s="226"/>
      <c r="R15" s="226"/>
      <c r="S15" s="226"/>
      <c r="T15" s="226"/>
      <c r="U15" s="226"/>
      <c r="V15" s="226"/>
      <c r="W15" s="226"/>
      <c r="X15" s="226"/>
      <c r="Y15" s="226"/>
      <c r="Z15" s="226"/>
      <c r="AA15" s="226"/>
      <c r="AB15" s="226"/>
      <c r="AC15" s="226"/>
      <c r="AD15" s="226"/>
      <c r="AE15" s="226"/>
      <c r="AF15" s="226"/>
      <c r="AG15" s="226"/>
      <c r="AH15" s="226"/>
      <c r="AI15" s="226"/>
      <c r="AJ15" s="226"/>
      <c r="AK15" s="226"/>
      <c r="AL15" s="226"/>
      <c r="AM15" s="226"/>
      <c r="AN15" s="226"/>
      <c r="AO15" s="226"/>
      <c r="AP15" s="555">
        <v>33450</v>
      </c>
      <c r="AQ15" s="556">
        <v>34675.199999999997</v>
      </c>
      <c r="AR15" s="556">
        <v>36236.1</v>
      </c>
      <c r="AS15" s="556">
        <v>38046.5</v>
      </c>
      <c r="AT15" s="556">
        <v>39536</v>
      </c>
      <c r="AU15" s="557">
        <v>42477.4</v>
      </c>
      <c r="AV15" s="556">
        <v>44811.199999999997</v>
      </c>
      <c r="AW15" s="556">
        <v>46785.7</v>
      </c>
      <c r="AX15" s="558">
        <v>48631.3</v>
      </c>
      <c r="AY15" s="559">
        <v>50644.9</v>
      </c>
      <c r="AZ15" s="556">
        <v>53434.3</v>
      </c>
      <c r="BA15" s="556">
        <v>56220.3</v>
      </c>
      <c r="BB15" s="556">
        <v>58488.799999999996</v>
      </c>
      <c r="BC15" s="557">
        <v>61282.6</v>
      </c>
      <c r="BD15" s="556">
        <v>62526.7</v>
      </c>
      <c r="BE15" s="556">
        <v>64045.399999999994</v>
      </c>
      <c r="BF15" s="556">
        <v>65039.7</v>
      </c>
    </row>
    <row r="16" spans="1:58" s="244" customFormat="1" ht="11.25">
      <c r="A16" s="226" t="s">
        <v>595</v>
      </c>
      <c r="B16" s="227" t="s">
        <v>596</v>
      </c>
      <c r="C16" s="228"/>
      <c r="D16" s="226"/>
      <c r="E16" s="226"/>
      <c r="F16" s="226"/>
      <c r="G16" s="226"/>
      <c r="H16" s="226"/>
      <c r="I16" s="226"/>
      <c r="J16" s="226"/>
      <c r="K16" s="226"/>
      <c r="L16" s="226"/>
      <c r="M16" s="226"/>
      <c r="N16" s="226"/>
      <c r="O16" s="226"/>
      <c r="P16" s="226"/>
      <c r="Q16" s="226"/>
      <c r="R16" s="226"/>
      <c r="S16" s="226"/>
      <c r="T16" s="226"/>
      <c r="U16" s="226"/>
      <c r="V16" s="226"/>
      <c r="W16" s="226"/>
      <c r="X16" s="226"/>
      <c r="Y16" s="226"/>
      <c r="Z16" s="226"/>
      <c r="AA16" s="226"/>
      <c r="AB16" s="226"/>
      <c r="AC16" s="226"/>
      <c r="AD16" s="226"/>
      <c r="AE16" s="226"/>
      <c r="AF16" s="226"/>
      <c r="AG16" s="226"/>
      <c r="AH16" s="226"/>
      <c r="AI16" s="226"/>
      <c r="AJ16" s="226"/>
      <c r="AK16" s="226"/>
      <c r="AL16" s="226"/>
      <c r="AM16" s="226"/>
      <c r="AN16" s="226"/>
      <c r="AO16" s="226"/>
      <c r="AP16" s="555">
        <v>42233.4</v>
      </c>
      <c r="AQ16" s="556">
        <v>43730</v>
      </c>
      <c r="AR16" s="556">
        <v>44806.6</v>
      </c>
      <c r="AS16" s="556">
        <v>46243.1</v>
      </c>
      <c r="AT16" s="556">
        <v>45838.6</v>
      </c>
      <c r="AU16" s="557">
        <v>46239.5</v>
      </c>
      <c r="AV16" s="556">
        <v>48533.7</v>
      </c>
      <c r="AW16" s="556">
        <v>50952.299999999996</v>
      </c>
      <c r="AX16" s="558">
        <v>52388.2</v>
      </c>
      <c r="AY16" s="559">
        <v>54460.5</v>
      </c>
      <c r="AZ16" s="556">
        <v>54600.800000000003</v>
      </c>
      <c r="BA16" s="556">
        <v>56793.9</v>
      </c>
      <c r="BB16" s="556">
        <v>56769</v>
      </c>
      <c r="BC16" s="557">
        <v>59611.3</v>
      </c>
      <c r="BD16" s="556">
        <v>55989.5</v>
      </c>
      <c r="BE16" s="556">
        <v>56604.2</v>
      </c>
      <c r="BF16" s="556">
        <v>57634.6</v>
      </c>
    </row>
    <row r="17" spans="1:58" s="244" customFormat="1" ht="11.25">
      <c r="A17" s="226" t="s">
        <v>597</v>
      </c>
      <c r="B17" s="227" t="s">
        <v>598</v>
      </c>
      <c r="C17" s="228"/>
      <c r="D17" s="226"/>
      <c r="E17" s="226"/>
      <c r="F17" s="226"/>
      <c r="G17" s="226"/>
      <c r="H17" s="226"/>
      <c r="I17" s="226"/>
      <c r="J17" s="226"/>
      <c r="K17" s="226"/>
      <c r="L17" s="226"/>
      <c r="M17" s="226"/>
      <c r="N17" s="226"/>
      <c r="O17" s="226"/>
      <c r="P17" s="226"/>
      <c r="Q17" s="226"/>
      <c r="R17" s="226"/>
      <c r="S17" s="226"/>
      <c r="T17" s="226"/>
      <c r="U17" s="226"/>
      <c r="V17" s="226"/>
      <c r="W17" s="226"/>
      <c r="X17" s="226"/>
      <c r="Y17" s="226"/>
      <c r="Z17" s="226"/>
      <c r="AA17" s="226"/>
      <c r="AB17" s="226"/>
      <c r="AC17" s="226"/>
      <c r="AD17" s="226"/>
      <c r="AE17" s="226"/>
      <c r="AF17" s="226"/>
      <c r="AG17" s="226"/>
      <c r="AH17" s="226"/>
      <c r="AI17" s="226"/>
      <c r="AJ17" s="226"/>
      <c r="AK17" s="226"/>
      <c r="AL17" s="226"/>
      <c r="AM17" s="226"/>
      <c r="AN17" s="226"/>
      <c r="AO17" s="226"/>
      <c r="AP17" s="555">
        <v>3417.2</v>
      </c>
      <c r="AQ17" s="556">
        <v>3380.6</v>
      </c>
      <c r="AR17" s="556">
        <v>3234.5</v>
      </c>
      <c r="AS17" s="556">
        <v>3066.7</v>
      </c>
      <c r="AT17" s="556">
        <v>2848.5</v>
      </c>
      <c r="AU17" s="557">
        <v>2650.3</v>
      </c>
      <c r="AV17" s="556">
        <v>2557.4</v>
      </c>
      <c r="AW17" s="556">
        <v>2660.8</v>
      </c>
      <c r="AX17" s="558">
        <v>3207.3</v>
      </c>
      <c r="AY17" s="559">
        <v>3133.3</v>
      </c>
      <c r="AZ17" s="556">
        <v>3244.9</v>
      </c>
      <c r="BA17" s="556">
        <v>3191.3</v>
      </c>
      <c r="BB17" s="556">
        <v>3019.2</v>
      </c>
      <c r="BC17" s="557">
        <v>2975.3</v>
      </c>
      <c r="BD17" s="556">
        <v>2947</v>
      </c>
      <c r="BE17" s="556">
        <v>3095.6</v>
      </c>
      <c r="BF17" s="556">
        <v>3318.1</v>
      </c>
    </row>
    <row r="18" spans="1:58" s="244" customFormat="1" ht="11.25">
      <c r="A18" s="231" t="s">
        <v>599</v>
      </c>
      <c r="B18" s="232" t="s">
        <v>600</v>
      </c>
      <c r="C18" s="233"/>
      <c r="D18" s="231"/>
      <c r="E18" s="231"/>
      <c r="F18" s="231"/>
      <c r="G18" s="231"/>
      <c r="H18" s="231"/>
      <c r="I18" s="231"/>
      <c r="J18" s="231"/>
      <c r="K18" s="231"/>
      <c r="L18" s="231"/>
      <c r="M18" s="231"/>
      <c r="N18" s="231"/>
      <c r="O18" s="231"/>
      <c r="P18" s="231"/>
      <c r="Q18" s="231"/>
      <c r="R18" s="231"/>
      <c r="S18" s="231"/>
      <c r="T18" s="231"/>
      <c r="U18" s="231"/>
      <c r="V18" s="231"/>
      <c r="W18" s="231"/>
      <c r="X18" s="231"/>
      <c r="Y18" s="231"/>
      <c r="Z18" s="231"/>
      <c r="AA18" s="231"/>
      <c r="AB18" s="231"/>
      <c r="AC18" s="231"/>
      <c r="AD18" s="231"/>
      <c r="AE18" s="231"/>
      <c r="AF18" s="231"/>
      <c r="AG18" s="231"/>
      <c r="AH18" s="231"/>
      <c r="AI18" s="231"/>
      <c r="AJ18" s="231"/>
      <c r="AK18" s="231"/>
      <c r="AL18" s="231"/>
      <c r="AM18" s="231"/>
      <c r="AN18" s="231"/>
      <c r="AO18" s="231"/>
      <c r="AP18" s="560">
        <f t="shared" ref="AP18:AU18" si="24">SUM(AP19,AP25)</f>
        <v>79100.599999999991</v>
      </c>
      <c r="AQ18" s="561">
        <f t="shared" si="24"/>
        <v>81785.8</v>
      </c>
      <c r="AR18" s="561">
        <f t="shared" si="24"/>
        <v>84277.2</v>
      </c>
      <c r="AS18" s="561">
        <f t="shared" si="24"/>
        <v>87356.3</v>
      </c>
      <c r="AT18" s="561">
        <f t="shared" si="24"/>
        <v>88223.1</v>
      </c>
      <c r="AU18" s="562">
        <f t="shared" si="24"/>
        <v>91367.2</v>
      </c>
      <c r="AV18" s="561">
        <f t="shared" ref="AV18:AW18" si="25">SUM(AV19,AV25)</f>
        <v>95902.3</v>
      </c>
      <c r="AW18" s="561">
        <f t="shared" si="25"/>
        <v>100398.8</v>
      </c>
      <c r="AX18" s="563">
        <f t="shared" ref="AX18:AY18" si="26">SUM(AX19,AX25)</f>
        <v>104226.79999999999</v>
      </c>
      <c r="AY18" s="564">
        <f t="shared" si="26"/>
        <v>108238.70000000001</v>
      </c>
      <c r="AZ18" s="561">
        <f t="shared" ref="AZ18:BA18" si="27">SUM(AZ19,AZ25)</f>
        <v>111280</v>
      </c>
      <c r="BA18" s="561">
        <f t="shared" si="27"/>
        <v>116205.49999999999</v>
      </c>
      <c r="BB18" s="561">
        <f t="shared" ref="BB18:BC18" si="28">SUM(BB19,BB25)</f>
        <v>118277</v>
      </c>
      <c r="BC18" s="562">
        <f t="shared" si="28"/>
        <v>123869.19999999998</v>
      </c>
      <c r="BD18" s="561">
        <f t="shared" ref="BD18:BE18" si="29">SUM(BD19,BD25)</f>
        <v>121463.20000000001</v>
      </c>
      <c r="BE18" s="561">
        <f t="shared" si="29"/>
        <v>123745.20000000001</v>
      </c>
      <c r="BF18" s="561">
        <f t="shared" ref="BF18" si="30">SUM(BF19,BF25)</f>
        <v>125992.40000000002</v>
      </c>
    </row>
    <row r="19" spans="1:58" s="244" customFormat="1" ht="11.25">
      <c r="A19" s="236" t="s">
        <v>601</v>
      </c>
      <c r="B19" s="237" t="s">
        <v>602</v>
      </c>
      <c r="C19" s="238"/>
      <c r="D19" s="236"/>
      <c r="E19" s="236"/>
      <c r="F19" s="236"/>
      <c r="G19" s="236"/>
      <c r="H19" s="236"/>
      <c r="I19" s="236"/>
      <c r="J19" s="236"/>
      <c r="K19" s="236"/>
      <c r="L19" s="236"/>
      <c r="M19" s="236"/>
      <c r="N19" s="236"/>
      <c r="O19" s="236"/>
      <c r="P19" s="236"/>
      <c r="Q19" s="236"/>
      <c r="R19" s="236"/>
      <c r="S19" s="236"/>
      <c r="T19" s="236"/>
      <c r="U19" s="236"/>
      <c r="V19" s="236"/>
      <c r="W19" s="236"/>
      <c r="X19" s="236"/>
      <c r="Y19" s="236"/>
      <c r="Z19" s="236"/>
      <c r="AA19" s="236"/>
      <c r="AB19" s="236"/>
      <c r="AC19" s="236"/>
      <c r="AD19" s="236"/>
      <c r="AE19" s="236"/>
      <c r="AF19" s="236"/>
      <c r="AG19" s="236"/>
      <c r="AH19" s="236"/>
      <c r="AI19" s="236"/>
      <c r="AJ19" s="236"/>
      <c r="AK19" s="236"/>
      <c r="AL19" s="236"/>
      <c r="AM19" s="236"/>
      <c r="AN19" s="236"/>
      <c r="AO19" s="236"/>
      <c r="AP19" s="560">
        <f t="shared" ref="AP19:AU19" si="31">SUM(AP20:AP24)</f>
        <v>47459.999999999993</v>
      </c>
      <c r="AQ19" s="561">
        <f t="shared" si="31"/>
        <v>48999.6</v>
      </c>
      <c r="AR19" s="561">
        <f t="shared" si="31"/>
        <v>49955.9</v>
      </c>
      <c r="AS19" s="561">
        <f t="shared" si="31"/>
        <v>51561</v>
      </c>
      <c r="AT19" s="561">
        <f t="shared" si="31"/>
        <v>50714.100000000006</v>
      </c>
      <c r="AU19" s="562">
        <f t="shared" si="31"/>
        <v>51942.5</v>
      </c>
      <c r="AV19" s="561">
        <f t="shared" ref="AV19:AW19" si="32">SUM(AV20:AV24)</f>
        <v>54179.199999999997</v>
      </c>
      <c r="AW19" s="561">
        <f t="shared" si="32"/>
        <v>56859</v>
      </c>
      <c r="AX19" s="563">
        <f t="shared" ref="AX19:AY19" si="33">SUM(AX20:AX24)</f>
        <v>58863.500000000007</v>
      </c>
      <c r="AY19" s="564">
        <f t="shared" si="33"/>
        <v>66846.600000000006</v>
      </c>
      <c r="AZ19" s="561">
        <f t="shared" ref="AZ19:BA19" si="34">SUM(AZ20:AZ24)</f>
        <v>67579</v>
      </c>
      <c r="BA19" s="561">
        <f t="shared" si="34"/>
        <v>70010.499999999985</v>
      </c>
      <c r="BB19" s="561">
        <f t="shared" ref="BB19:BC19" si="35">SUM(BB20:BB24)</f>
        <v>69916.7</v>
      </c>
      <c r="BC19" s="562">
        <f t="shared" si="35"/>
        <v>72928.799999999988</v>
      </c>
      <c r="BD19" s="561">
        <f t="shared" ref="BD19:BE19" si="36">SUM(BD20:BD24)</f>
        <v>68854.400000000009</v>
      </c>
      <c r="BE19" s="561">
        <f t="shared" si="36"/>
        <v>69981.100000000006</v>
      </c>
      <c r="BF19" s="561">
        <f t="shared" ref="BF19" si="37">SUM(BF20:BF24)</f>
        <v>70159.900000000009</v>
      </c>
    </row>
    <row r="20" spans="1:58" s="244" customFormat="1" ht="11.25">
      <c r="A20" s="239" t="s">
        <v>603</v>
      </c>
      <c r="B20" s="240" t="s">
        <v>604</v>
      </c>
      <c r="C20" s="241"/>
      <c r="D20" s="239"/>
      <c r="E20" s="239"/>
      <c r="F20" s="239"/>
      <c r="G20" s="239"/>
      <c r="H20" s="239"/>
      <c r="I20" s="239"/>
      <c r="J20" s="239"/>
      <c r="K20" s="239"/>
      <c r="L20" s="239"/>
      <c r="M20" s="239"/>
      <c r="N20" s="239"/>
      <c r="O20" s="239"/>
      <c r="P20" s="239"/>
      <c r="Q20" s="239"/>
      <c r="R20" s="239"/>
      <c r="S20" s="239"/>
      <c r="T20" s="239"/>
      <c r="U20" s="239"/>
      <c r="V20" s="239"/>
      <c r="W20" s="239"/>
      <c r="X20" s="239"/>
      <c r="Y20" s="239"/>
      <c r="Z20" s="239"/>
      <c r="AA20" s="239"/>
      <c r="AB20" s="239"/>
      <c r="AC20" s="239"/>
      <c r="AD20" s="239"/>
      <c r="AE20" s="239"/>
      <c r="AF20" s="239"/>
      <c r="AG20" s="239"/>
      <c r="AH20" s="239"/>
      <c r="AI20" s="239"/>
      <c r="AJ20" s="239"/>
      <c r="AK20" s="239"/>
      <c r="AL20" s="239"/>
      <c r="AM20" s="239"/>
      <c r="AN20" s="239"/>
      <c r="AO20" s="239"/>
      <c r="AP20" s="555">
        <v>7544.2000000000007</v>
      </c>
      <c r="AQ20" s="556">
        <v>9431</v>
      </c>
      <c r="AR20" s="556">
        <v>9538.6</v>
      </c>
      <c r="AS20" s="556">
        <v>9904.2000000000007</v>
      </c>
      <c r="AT20" s="556">
        <v>9230.7000000000007</v>
      </c>
      <c r="AU20" s="557">
        <v>10622.500000000002</v>
      </c>
      <c r="AV20" s="556">
        <v>10393.199999999999</v>
      </c>
      <c r="AW20" s="556">
        <v>11222.6</v>
      </c>
      <c r="AX20" s="558">
        <v>10782.9</v>
      </c>
      <c r="AY20" s="559">
        <v>12286.3</v>
      </c>
      <c r="AZ20" s="556">
        <v>12478.399999999998</v>
      </c>
      <c r="BA20" s="556">
        <v>9239.6</v>
      </c>
      <c r="BB20" s="556">
        <v>11515.3</v>
      </c>
      <c r="BC20" s="557">
        <v>11871.7</v>
      </c>
      <c r="BD20" s="556">
        <v>10095.900000000001</v>
      </c>
      <c r="BE20" s="556">
        <v>9949.8000000000011</v>
      </c>
      <c r="BF20" s="556">
        <v>9549.9000000000015</v>
      </c>
    </row>
    <row r="21" spans="1:58" s="244" customFormat="1" ht="11.25">
      <c r="A21" s="239" t="s">
        <v>605</v>
      </c>
      <c r="B21" s="240" t="s">
        <v>606</v>
      </c>
      <c r="C21" s="241"/>
      <c r="D21" s="239"/>
      <c r="E21" s="239"/>
      <c r="F21" s="239"/>
      <c r="G21" s="239"/>
      <c r="H21" s="239"/>
      <c r="I21" s="239"/>
      <c r="J21" s="239"/>
      <c r="K21" s="239"/>
      <c r="L21" s="239"/>
      <c r="M21" s="239"/>
      <c r="N21" s="239"/>
      <c r="O21" s="239"/>
      <c r="P21" s="239"/>
      <c r="Q21" s="239"/>
      <c r="R21" s="239"/>
      <c r="S21" s="239"/>
      <c r="T21" s="239"/>
      <c r="U21" s="239"/>
      <c r="V21" s="239"/>
      <c r="W21" s="239"/>
      <c r="X21" s="239"/>
      <c r="Y21" s="239"/>
      <c r="Z21" s="239"/>
      <c r="AA21" s="239"/>
      <c r="AB21" s="239"/>
      <c r="AC21" s="239"/>
      <c r="AD21" s="239"/>
      <c r="AE21" s="239"/>
      <c r="AF21" s="239"/>
      <c r="AG21" s="239"/>
      <c r="AH21" s="239"/>
      <c r="AI21" s="239"/>
      <c r="AJ21" s="239"/>
      <c r="AK21" s="239"/>
      <c r="AL21" s="239"/>
      <c r="AM21" s="239"/>
      <c r="AN21" s="239"/>
      <c r="AO21" s="239"/>
      <c r="AP21" s="555">
        <v>27754</v>
      </c>
      <c r="AQ21" s="556">
        <v>27293.1</v>
      </c>
      <c r="AR21" s="556">
        <v>27919.200000000001</v>
      </c>
      <c r="AS21" s="556">
        <v>28932.800000000003</v>
      </c>
      <c r="AT21" s="556">
        <v>28413.1</v>
      </c>
      <c r="AU21" s="557">
        <v>28311.799999999996</v>
      </c>
      <c r="AV21" s="556">
        <v>30441.599999999999</v>
      </c>
      <c r="AW21" s="556">
        <v>31819.8</v>
      </c>
      <c r="AX21" s="558">
        <v>33243.9</v>
      </c>
      <c r="AY21" s="559">
        <v>38337.100000000006</v>
      </c>
      <c r="AZ21" s="556">
        <v>38453.800000000003</v>
      </c>
      <c r="BA21" s="556">
        <v>43348.1</v>
      </c>
      <c r="BB21" s="556">
        <v>41166.6</v>
      </c>
      <c r="BC21" s="557">
        <v>43599.299999999988</v>
      </c>
      <c r="BD21" s="556">
        <v>42455.3</v>
      </c>
      <c r="BE21" s="556">
        <v>42733.599999999999</v>
      </c>
      <c r="BF21" s="556">
        <v>42928.5</v>
      </c>
    </row>
    <row r="22" spans="1:58" s="244" customFormat="1" ht="11.25">
      <c r="A22" s="239" t="s">
        <v>607</v>
      </c>
      <c r="B22" s="240" t="s">
        <v>608</v>
      </c>
      <c r="C22" s="241"/>
      <c r="D22" s="239"/>
      <c r="E22" s="239"/>
      <c r="F22" s="239"/>
      <c r="G22" s="239"/>
      <c r="H22" s="239"/>
      <c r="I22" s="239"/>
      <c r="J22" s="239"/>
      <c r="K22" s="239"/>
      <c r="L22" s="239"/>
      <c r="M22" s="239"/>
      <c r="N22" s="239"/>
      <c r="O22" s="239"/>
      <c r="P22" s="239"/>
      <c r="Q22" s="239"/>
      <c r="R22" s="239"/>
      <c r="S22" s="239"/>
      <c r="T22" s="239"/>
      <c r="U22" s="239"/>
      <c r="V22" s="239"/>
      <c r="W22" s="239"/>
      <c r="X22" s="239"/>
      <c r="Y22" s="239"/>
      <c r="Z22" s="239"/>
      <c r="AA22" s="239"/>
      <c r="AB22" s="239"/>
      <c r="AC22" s="239"/>
      <c r="AD22" s="239"/>
      <c r="AE22" s="239"/>
      <c r="AF22" s="239"/>
      <c r="AG22" s="239"/>
      <c r="AH22" s="239"/>
      <c r="AI22" s="239"/>
      <c r="AJ22" s="239"/>
      <c r="AK22" s="239"/>
      <c r="AL22" s="239"/>
      <c r="AM22" s="239"/>
      <c r="AN22" s="239"/>
      <c r="AO22" s="239"/>
      <c r="AP22" s="555">
        <v>5258.2000000000007</v>
      </c>
      <c r="AQ22" s="556">
        <v>5278</v>
      </c>
      <c r="AR22" s="556">
        <v>5549.6</v>
      </c>
      <c r="AS22" s="556">
        <v>5725</v>
      </c>
      <c r="AT22" s="556">
        <v>5902.2999999999993</v>
      </c>
      <c r="AU22" s="557">
        <v>6116.6</v>
      </c>
      <c r="AV22" s="556">
        <v>6481.0999999999995</v>
      </c>
      <c r="AW22" s="556">
        <v>6782.5999999999995</v>
      </c>
      <c r="AX22" s="558">
        <v>7165.0000000000009</v>
      </c>
      <c r="AY22" s="559">
        <v>8673.6</v>
      </c>
      <c r="AZ22" s="556">
        <v>9135.1</v>
      </c>
      <c r="BA22" s="556">
        <v>9469.6</v>
      </c>
      <c r="BB22" s="556">
        <v>9396.7999999999993</v>
      </c>
      <c r="BC22" s="557">
        <v>9608.4</v>
      </c>
      <c r="BD22" s="556">
        <v>9477.2000000000007</v>
      </c>
      <c r="BE22" s="556">
        <v>9626.1999999999989</v>
      </c>
      <c r="BF22" s="556">
        <v>9832.1</v>
      </c>
    </row>
    <row r="23" spans="1:58" s="244" customFormat="1" ht="11.25">
      <c r="A23" s="239" t="s">
        <v>609</v>
      </c>
      <c r="B23" s="240" t="s">
        <v>610</v>
      </c>
      <c r="C23" s="241"/>
      <c r="D23" s="239"/>
      <c r="E23" s="239"/>
      <c r="F23" s="239"/>
      <c r="G23" s="239"/>
      <c r="H23" s="239"/>
      <c r="I23" s="239"/>
      <c r="J23" s="239"/>
      <c r="K23" s="239"/>
      <c r="L23" s="239"/>
      <c r="M23" s="239"/>
      <c r="N23" s="239"/>
      <c r="O23" s="239"/>
      <c r="P23" s="239"/>
      <c r="Q23" s="239"/>
      <c r="R23" s="239"/>
      <c r="S23" s="239"/>
      <c r="T23" s="239"/>
      <c r="U23" s="239"/>
      <c r="V23" s="239"/>
      <c r="W23" s="239"/>
      <c r="X23" s="239"/>
      <c r="Y23" s="239"/>
      <c r="Z23" s="239"/>
      <c r="AA23" s="239"/>
      <c r="AB23" s="239"/>
      <c r="AC23" s="239"/>
      <c r="AD23" s="239"/>
      <c r="AE23" s="239"/>
      <c r="AF23" s="239"/>
      <c r="AG23" s="239"/>
      <c r="AH23" s="239"/>
      <c r="AI23" s="239"/>
      <c r="AJ23" s="239"/>
      <c r="AK23" s="239"/>
      <c r="AL23" s="239"/>
      <c r="AM23" s="239"/>
      <c r="AN23" s="239"/>
      <c r="AO23" s="239"/>
      <c r="AP23" s="555">
        <v>4373.7000000000007</v>
      </c>
      <c r="AQ23" s="556">
        <v>4536.8999999999996</v>
      </c>
      <c r="AR23" s="556">
        <v>4643.2</v>
      </c>
      <c r="AS23" s="556">
        <v>4742.6000000000004</v>
      </c>
      <c r="AT23" s="556">
        <v>4619.8</v>
      </c>
      <c r="AU23" s="557">
        <v>4583.8</v>
      </c>
      <c r="AV23" s="556">
        <v>4773.9000000000005</v>
      </c>
      <c r="AW23" s="556">
        <v>4793.2999999999993</v>
      </c>
      <c r="AX23" s="558">
        <v>4861.8999999999996</v>
      </c>
      <c r="AY23" s="559">
        <v>5038.5</v>
      </c>
      <c r="AZ23" s="556">
        <v>5173.8999999999996</v>
      </c>
      <c r="BA23" s="556">
        <v>5333.5</v>
      </c>
      <c r="BB23" s="556">
        <v>5333.4</v>
      </c>
      <c r="BC23" s="557">
        <v>5373.9</v>
      </c>
      <c r="BD23" s="556">
        <v>4597.6000000000004</v>
      </c>
      <c r="BE23" s="556">
        <v>4674.2000000000007</v>
      </c>
      <c r="BF23" s="556">
        <v>4857.1000000000004</v>
      </c>
    </row>
    <row r="24" spans="1:58" s="244" customFormat="1" ht="11.25">
      <c r="A24" s="239" t="s">
        <v>611</v>
      </c>
      <c r="B24" s="240" t="s">
        <v>612</v>
      </c>
      <c r="C24" s="241"/>
      <c r="D24" s="239"/>
      <c r="E24" s="239"/>
      <c r="F24" s="239"/>
      <c r="G24" s="239"/>
      <c r="H24" s="239"/>
      <c r="I24" s="239"/>
      <c r="J24" s="239"/>
      <c r="K24" s="239"/>
      <c r="L24" s="239"/>
      <c r="M24" s="239"/>
      <c r="N24" s="239"/>
      <c r="O24" s="239"/>
      <c r="P24" s="239"/>
      <c r="Q24" s="239"/>
      <c r="R24" s="239"/>
      <c r="S24" s="239"/>
      <c r="T24" s="239"/>
      <c r="U24" s="239"/>
      <c r="V24" s="239"/>
      <c r="W24" s="239"/>
      <c r="X24" s="239"/>
      <c r="Y24" s="239"/>
      <c r="Z24" s="239"/>
      <c r="AA24" s="239"/>
      <c r="AB24" s="239"/>
      <c r="AC24" s="239"/>
      <c r="AD24" s="239"/>
      <c r="AE24" s="239"/>
      <c r="AF24" s="239"/>
      <c r="AG24" s="239"/>
      <c r="AH24" s="239"/>
      <c r="AI24" s="239"/>
      <c r="AJ24" s="239"/>
      <c r="AK24" s="239"/>
      <c r="AL24" s="239"/>
      <c r="AM24" s="239"/>
      <c r="AN24" s="239"/>
      <c r="AO24" s="239"/>
      <c r="AP24" s="555">
        <v>2529.8999999999996</v>
      </c>
      <c r="AQ24" s="556">
        <v>2460.6000000000004</v>
      </c>
      <c r="AR24" s="556">
        <v>2305.3000000000002</v>
      </c>
      <c r="AS24" s="556">
        <v>2256.4</v>
      </c>
      <c r="AT24" s="556">
        <v>2548.1999999999998</v>
      </c>
      <c r="AU24" s="557">
        <v>2307.8000000000002</v>
      </c>
      <c r="AV24" s="556">
        <v>2089.4</v>
      </c>
      <c r="AW24" s="556">
        <v>2240.6999999999998</v>
      </c>
      <c r="AX24" s="558">
        <v>2809.8</v>
      </c>
      <c r="AY24" s="559">
        <v>2511.1</v>
      </c>
      <c r="AZ24" s="556">
        <v>2337.8000000000002</v>
      </c>
      <c r="BA24" s="556">
        <v>2619.6999999999998</v>
      </c>
      <c r="BB24" s="556">
        <v>2504.6000000000004</v>
      </c>
      <c r="BC24" s="557">
        <v>2475.5</v>
      </c>
      <c r="BD24" s="556">
        <v>2228.3999999999996</v>
      </c>
      <c r="BE24" s="556">
        <v>2997.3</v>
      </c>
      <c r="BF24" s="556">
        <v>2992.3</v>
      </c>
    </row>
    <row r="25" spans="1:58" s="244" customFormat="1" ht="11.25">
      <c r="A25" s="236" t="s">
        <v>613</v>
      </c>
      <c r="B25" s="237" t="s">
        <v>614</v>
      </c>
      <c r="C25" s="238"/>
      <c r="D25" s="236"/>
      <c r="E25" s="236"/>
      <c r="F25" s="236"/>
      <c r="G25" s="236"/>
      <c r="H25" s="236"/>
      <c r="I25" s="236"/>
      <c r="J25" s="236"/>
      <c r="K25" s="236"/>
      <c r="L25" s="236"/>
      <c r="M25" s="236"/>
      <c r="N25" s="236"/>
      <c r="O25" s="236"/>
      <c r="P25" s="236"/>
      <c r="Q25" s="236"/>
      <c r="R25" s="236"/>
      <c r="S25" s="236"/>
      <c r="T25" s="236"/>
      <c r="U25" s="236"/>
      <c r="V25" s="236"/>
      <c r="W25" s="236"/>
      <c r="X25" s="236"/>
      <c r="Y25" s="236"/>
      <c r="Z25" s="236"/>
      <c r="AA25" s="236"/>
      <c r="AB25" s="236"/>
      <c r="AC25" s="236"/>
      <c r="AD25" s="236"/>
      <c r="AE25" s="236"/>
      <c r="AF25" s="236"/>
      <c r="AG25" s="236"/>
      <c r="AH25" s="236"/>
      <c r="AI25" s="236"/>
      <c r="AJ25" s="236"/>
      <c r="AK25" s="236"/>
      <c r="AL25" s="236"/>
      <c r="AM25" s="236"/>
      <c r="AN25" s="236"/>
      <c r="AO25" s="236"/>
      <c r="AP25" s="560">
        <f t="shared" ref="AP25" si="38">SUM(AP26:AP29)</f>
        <v>31640.600000000002</v>
      </c>
      <c r="AQ25" s="561">
        <f t="shared" ref="AQ25:AU25" si="39">SUM(AQ26:AQ29)</f>
        <v>32786.200000000004</v>
      </c>
      <c r="AR25" s="561">
        <f t="shared" si="39"/>
        <v>34321.299999999996</v>
      </c>
      <c r="AS25" s="561">
        <f t="shared" si="39"/>
        <v>35795.300000000003</v>
      </c>
      <c r="AT25" s="561">
        <f t="shared" si="39"/>
        <v>37509</v>
      </c>
      <c r="AU25" s="562">
        <f t="shared" si="39"/>
        <v>39424.699999999997</v>
      </c>
      <c r="AV25" s="561">
        <f t="shared" ref="AV25:AW25" si="40">SUM(AV26:AV29)</f>
        <v>41723.100000000006</v>
      </c>
      <c r="AW25" s="561">
        <f t="shared" si="40"/>
        <v>43539.8</v>
      </c>
      <c r="AX25" s="563">
        <f t="shared" ref="AX25:AY25" si="41">SUM(AX26:AX29)</f>
        <v>45363.299999999988</v>
      </c>
      <c r="AY25" s="564">
        <f t="shared" si="41"/>
        <v>41392.1</v>
      </c>
      <c r="AZ25" s="561">
        <f t="shared" ref="AZ25:BA25" si="42">SUM(AZ26:AZ29)</f>
        <v>43701</v>
      </c>
      <c r="BA25" s="561">
        <f t="shared" si="42"/>
        <v>46195</v>
      </c>
      <c r="BB25" s="561">
        <f t="shared" ref="BB25:BC25" si="43">SUM(BB26:BB29)</f>
        <v>48360.299999999996</v>
      </c>
      <c r="BC25" s="562">
        <f t="shared" si="43"/>
        <v>50940.4</v>
      </c>
      <c r="BD25" s="561">
        <f t="shared" ref="BD25:BE25" si="44">SUM(BD26:BD29)</f>
        <v>52608.800000000003</v>
      </c>
      <c r="BE25" s="561">
        <f t="shared" si="44"/>
        <v>53764.100000000006</v>
      </c>
      <c r="BF25" s="561">
        <f t="shared" ref="BF25" si="45">SUM(BF26:BF29)</f>
        <v>55832.500000000007</v>
      </c>
    </row>
    <row r="26" spans="1:58" s="244" customFormat="1" ht="11.25">
      <c r="A26" s="239" t="s">
        <v>615</v>
      </c>
      <c r="B26" s="240" t="s">
        <v>616</v>
      </c>
      <c r="C26" s="241"/>
      <c r="D26" s="239"/>
      <c r="E26" s="239"/>
      <c r="F26" s="239"/>
      <c r="G26" s="239"/>
      <c r="H26" s="239"/>
      <c r="I26" s="239"/>
      <c r="J26" s="239"/>
      <c r="K26" s="239"/>
      <c r="L26" s="239"/>
      <c r="M26" s="239"/>
      <c r="N26" s="239"/>
      <c r="O26" s="239"/>
      <c r="P26" s="239"/>
      <c r="Q26" s="239"/>
      <c r="R26" s="239"/>
      <c r="S26" s="239"/>
      <c r="T26" s="239"/>
      <c r="U26" s="239"/>
      <c r="V26" s="239"/>
      <c r="W26" s="239"/>
      <c r="X26" s="239"/>
      <c r="Y26" s="239"/>
      <c r="Z26" s="239"/>
      <c r="AA26" s="239"/>
      <c r="AB26" s="239"/>
      <c r="AC26" s="239"/>
      <c r="AD26" s="239"/>
      <c r="AE26" s="239"/>
      <c r="AF26" s="239"/>
      <c r="AG26" s="239"/>
      <c r="AH26" s="239"/>
      <c r="AI26" s="239"/>
      <c r="AJ26" s="239"/>
      <c r="AK26" s="239"/>
      <c r="AL26" s="239"/>
      <c r="AM26" s="239"/>
      <c r="AN26" s="239"/>
      <c r="AO26" s="239"/>
      <c r="AP26" s="555">
        <v>23469.3</v>
      </c>
      <c r="AQ26" s="556">
        <v>24171.600000000002</v>
      </c>
      <c r="AR26" s="556">
        <v>25179.599999999999</v>
      </c>
      <c r="AS26" s="556">
        <v>26234.600000000002</v>
      </c>
      <c r="AT26" s="556">
        <v>27539.8</v>
      </c>
      <c r="AU26" s="557">
        <v>28892.1</v>
      </c>
      <c r="AV26" s="556">
        <v>30540.9</v>
      </c>
      <c r="AW26" s="556">
        <v>31988.899999999998</v>
      </c>
      <c r="AX26" s="558">
        <v>33371.699999999997</v>
      </c>
      <c r="AY26" s="559">
        <v>34589.5</v>
      </c>
      <c r="AZ26" s="556">
        <v>36464.6</v>
      </c>
      <c r="BA26" s="556">
        <v>38618.200000000004</v>
      </c>
      <c r="BB26" s="556">
        <v>40771.699999999997</v>
      </c>
      <c r="BC26" s="557">
        <v>43178.9</v>
      </c>
      <c r="BD26" s="556">
        <v>44932.800000000003</v>
      </c>
      <c r="BE26" s="556">
        <v>45923.9</v>
      </c>
      <c r="BF26" s="556">
        <v>47901.100000000006</v>
      </c>
    </row>
    <row r="27" spans="1:58" s="244" customFormat="1" ht="11.25">
      <c r="A27" s="239" t="s">
        <v>603</v>
      </c>
      <c r="B27" s="240" t="s">
        <v>604</v>
      </c>
      <c r="C27" s="241"/>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555">
        <v>1217.9000000000001</v>
      </c>
      <c r="AQ27" s="556">
        <v>1281.0999999999999</v>
      </c>
      <c r="AR27" s="556">
        <v>1328.1</v>
      </c>
      <c r="AS27" s="556">
        <v>1367.6</v>
      </c>
      <c r="AT27" s="556">
        <v>1315</v>
      </c>
      <c r="AU27" s="557">
        <v>1394.1999999999998</v>
      </c>
      <c r="AV27" s="556">
        <v>1403.4</v>
      </c>
      <c r="AW27" s="556">
        <v>1376.8000000000002</v>
      </c>
      <c r="AX27" s="558">
        <v>1329.2</v>
      </c>
      <c r="AY27" s="559">
        <v>588.9</v>
      </c>
      <c r="AZ27" s="556">
        <v>611.9</v>
      </c>
      <c r="BA27" s="556">
        <v>650.1</v>
      </c>
      <c r="BB27" s="556">
        <v>645.20000000000005</v>
      </c>
      <c r="BC27" s="557">
        <v>627.29999999999995</v>
      </c>
      <c r="BD27" s="556">
        <v>612.5</v>
      </c>
      <c r="BE27" s="556">
        <v>654.29999999999995</v>
      </c>
      <c r="BF27" s="556">
        <v>655</v>
      </c>
    </row>
    <row r="28" spans="1:58" s="244" customFormat="1" ht="11.25">
      <c r="A28" s="239" t="s">
        <v>607</v>
      </c>
      <c r="B28" s="240" t="s">
        <v>608</v>
      </c>
      <c r="C28" s="241"/>
      <c r="D28" s="239"/>
      <c r="E28" s="239"/>
      <c r="F28" s="239"/>
      <c r="G28" s="239"/>
      <c r="H28" s="239"/>
      <c r="I28" s="239"/>
      <c r="J28" s="239"/>
      <c r="K28" s="239"/>
      <c r="L28" s="239"/>
      <c r="M28" s="239"/>
      <c r="N28" s="239"/>
      <c r="O28" s="239"/>
      <c r="P28" s="239"/>
      <c r="Q28" s="239"/>
      <c r="R28" s="239"/>
      <c r="S28" s="239"/>
      <c r="T28" s="239"/>
      <c r="U28" s="239"/>
      <c r="V28" s="239"/>
      <c r="W28" s="239"/>
      <c r="X28" s="239"/>
      <c r="Y28" s="239"/>
      <c r="Z28" s="239"/>
      <c r="AA28" s="239"/>
      <c r="AB28" s="239"/>
      <c r="AC28" s="239"/>
      <c r="AD28" s="239"/>
      <c r="AE28" s="239"/>
      <c r="AF28" s="239"/>
      <c r="AG28" s="239"/>
      <c r="AH28" s="239"/>
      <c r="AI28" s="239"/>
      <c r="AJ28" s="239"/>
      <c r="AK28" s="239"/>
      <c r="AL28" s="239"/>
      <c r="AM28" s="239"/>
      <c r="AN28" s="239"/>
      <c r="AO28" s="239"/>
      <c r="AP28" s="555">
        <v>502.4</v>
      </c>
      <c r="AQ28" s="556">
        <v>536.4</v>
      </c>
      <c r="AR28" s="556">
        <v>576.9</v>
      </c>
      <c r="AS28" s="556">
        <v>631.1</v>
      </c>
      <c r="AT28" s="556">
        <v>690.7</v>
      </c>
      <c r="AU28" s="557">
        <v>753</v>
      </c>
      <c r="AV28" s="556">
        <v>811.2</v>
      </c>
      <c r="AW28" s="556">
        <v>872.9</v>
      </c>
      <c r="AX28" s="558">
        <v>979.1</v>
      </c>
      <c r="AY28" s="559">
        <v>0</v>
      </c>
      <c r="AZ28" s="556">
        <v>0</v>
      </c>
      <c r="BA28" s="556">
        <v>0</v>
      </c>
      <c r="BB28" s="556">
        <v>0</v>
      </c>
      <c r="BC28" s="557">
        <v>0</v>
      </c>
      <c r="BD28" s="556">
        <v>0</v>
      </c>
      <c r="BE28" s="556">
        <v>0</v>
      </c>
      <c r="BF28" s="556">
        <v>0</v>
      </c>
    </row>
    <row r="29" spans="1:58" s="244" customFormat="1" ht="11.25">
      <c r="A29" s="239" t="s">
        <v>617</v>
      </c>
      <c r="B29" s="240" t="s">
        <v>618</v>
      </c>
      <c r="C29" s="241"/>
      <c r="D29" s="239"/>
      <c r="E29" s="239"/>
      <c r="F29" s="239"/>
      <c r="G29" s="239"/>
      <c r="H29" s="239"/>
      <c r="I29" s="239"/>
      <c r="J29" s="239"/>
      <c r="K29" s="239"/>
      <c r="L29" s="239"/>
      <c r="M29" s="239"/>
      <c r="N29" s="239"/>
      <c r="O29" s="239"/>
      <c r="P29" s="239"/>
      <c r="Q29" s="239"/>
      <c r="R29" s="239"/>
      <c r="S29" s="239"/>
      <c r="T29" s="239"/>
      <c r="U29" s="239"/>
      <c r="V29" s="239"/>
      <c r="W29" s="239"/>
      <c r="X29" s="239"/>
      <c r="Y29" s="239"/>
      <c r="Z29" s="239"/>
      <c r="AA29" s="239"/>
      <c r="AB29" s="239"/>
      <c r="AC29" s="239"/>
      <c r="AD29" s="239"/>
      <c r="AE29" s="239"/>
      <c r="AF29" s="239"/>
      <c r="AG29" s="239"/>
      <c r="AH29" s="239"/>
      <c r="AI29" s="239"/>
      <c r="AJ29" s="239"/>
      <c r="AK29" s="239"/>
      <c r="AL29" s="239"/>
      <c r="AM29" s="239"/>
      <c r="AN29" s="239"/>
      <c r="AO29" s="239"/>
      <c r="AP29" s="555">
        <v>6451</v>
      </c>
      <c r="AQ29" s="556">
        <v>6797.1</v>
      </c>
      <c r="AR29" s="556">
        <v>7236.7</v>
      </c>
      <c r="AS29" s="556">
        <v>7562</v>
      </c>
      <c r="AT29" s="556">
        <v>7963.5000000000009</v>
      </c>
      <c r="AU29" s="557">
        <v>8385.4</v>
      </c>
      <c r="AV29" s="556">
        <v>8967.6</v>
      </c>
      <c r="AW29" s="556">
        <v>9301.2000000000007</v>
      </c>
      <c r="AX29" s="558">
        <v>9683.2999999999993</v>
      </c>
      <c r="AY29" s="559">
        <v>6213.7</v>
      </c>
      <c r="AZ29" s="556">
        <v>6624.5</v>
      </c>
      <c r="BA29" s="556">
        <v>6926.7</v>
      </c>
      <c r="BB29" s="556">
        <v>6943.4</v>
      </c>
      <c r="BC29" s="557">
        <v>7134.2</v>
      </c>
      <c r="BD29" s="556">
        <v>7063.5</v>
      </c>
      <c r="BE29" s="556">
        <v>7185.9</v>
      </c>
      <c r="BF29" s="556">
        <v>7276.4</v>
      </c>
    </row>
    <row r="30" spans="1:58" s="245" customFormat="1" ht="11.25">
      <c r="A30" s="221" t="s">
        <v>742</v>
      </c>
      <c r="B30" s="222" t="s">
        <v>731</v>
      </c>
      <c r="C30" s="223"/>
      <c r="D30" s="221"/>
      <c r="E30" s="221"/>
      <c r="F30" s="221"/>
      <c r="G30" s="221"/>
      <c r="H30" s="221"/>
      <c r="I30" s="221"/>
      <c r="J30" s="221"/>
      <c r="K30" s="221"/>
      <c r="L30" s="221"/>
      <c r="M30" s="221"/>
      <c r="N30" s="221"/>
      <c r="O30" s="221"/>
      <c r="P30" s="221"/>
      <c r="Q30" s="221"/>
      <c r="R30" s="221"/>
      <c r="S30" s="221"/>
      <c r="T30" s="221"/>
      <c r="U30" s="221"/>
      <c r="V30" s="221"/>
      <c r="W30" s="221"/>
      <c r="X30" s="221"/>
      <c r="Y30" s="221"/>
      <c r="Z30" s="221"/>
      <c r="AA30" s="221"/>
      <c r="AB30" s="221"/>
      <c r="AC30" s="221"/>
      <c r="AD30" s="221"/>
      <c r="AE30" s="221"/>
      <c r="AF30" s="221"/>
      <c r="AG30" s="221"/>
      <c r="AH30" s="221"/>
      <c r="AI30" s="221"/>
      <c r="AJ30" s="221"/>
      <c r="AK30" s="221"/>
      <c r="AL30" s="221"/>
      <c r="AM30" s="221"/>
      <c r="AN30" s="221"/>
      <c r="AO30" s="221"/>
      <c r="AP30" s="224">
        <f t="shared" ref="AP30" si="46">SUM(AP31:AP34)</f>
        <v>4346.5999999999995</v>
      </c>
      <c r="AQ30" s="225">
        <f t="shared" ref="AQ30:AU30" si="47">SUM(AQ31:AQ34)</f>
        <v>4129.8</v>
      </c>
      <c r="AR30" s="225">
        <f t="shared" si="47"/>
        <v>4181</v>
      </c>
      <c r="AS30" s="225">
        <f t="shared" si="47"/>
        <v>4343.4000000000005</v>
      </c>
      <c r="AT30" s="225">
        <f t="shared" si="47"/>
        <v>719</v>
      </c>
      <c r="AU30" s="314">
        <f t="shared" si="47"/>
        <v>747.2</v>
      </c>
      <c r="AV30" s="225">
        <f t="shared" ref="AV30:AW30" si="48">SUM(AV31:AV34)</f>
        <v>809</v>
      </c>
      <c r="AW30" s="225">
        <f t="shared" si="48"/>
        <v>791.1</v>
      </c>
      <c r="AX30" s="375">
        <f t="shared" ref="AX30:AY30" si="49">SUM(AX31:AX34)</f>
        <v>950.6</v>
      </c>
      <c r="AY30" s="376">
        <f t="shared" si="49"/>
        <v>1227</v>
      </c>
      <c r="AZ30" s="225">
        <f t="shared" ref="AZ30:BA30" si="50">SUM(AZ31:AZ34)</f>
        <v>1459.1999999999998</v>
      </c>
      <c r="BA30" s="225">
        <f t="shared" si="50"/>
        <v>1880.4</v>
      </c>
      <c r="BB30" s="225">
        <f t="shared" ref="BB30:BC30" si="51">SUM(BB31:BB34)</f>
        <v>2296.7999999999997</v>
      </c>
      <c r="BC30" s="314">
        <f t="shared" si="51"/>
        <v>2356.6999999999998</v>
      </c>
      <c r="BD30" s="225">
        <f t="shared" ref="BD30:BE30" si="52">SUM(BD31:BD34)</f>
        <v>2183</v>
      </c>
      <c r="BE30" s="225">
        <f t="shared" si="52"/>
        <v>1822.6</v>
      </c>
      <c r="BF30" s="225">
        <f t="shared" ref="BF30" si="53">SUM(BF31:BF34)</f>
        <v>1933.3000000000002</v>
      </c>
    </row>
    <row r="31" spans="1:58" s="244" customFormat="1" ht="11.25">
      <c r="A31" s="239" t="s">
        <v>723</v>
      </c>
      <c r="B31" s="240" t="s">
        <v>619</v>
      </c>
      <c r="C31" s="241"/>
      <c r="D31" s="239"/>
      <c r="E31" s="239"/>
      <c r="F31" s="239"/>
      <c r="G31" s="239"/>
      <c r="H31" s="239"/>
      <c r="I31" s="239"/>
      <c r="J31" s="239"/>
      <c r="K31" s="239"/>
      <c r="L31" s="239"/>
      <c r="M31" s="239"/>
      <c r="N31" s="239"/>
      <c r="O31" s="239"/>
      <c r="P31" s="239"/>
      <c r="Q31" s="239"/>
      <c r="R31" s="239"/>
      <c r="S31" s="239"/>
      <c r="T31" s="239"/>
      <c r="U31" s="239"/>
      <c r="V31" s="239"/>
      <c r="W31" s="239"/>
      <c r="X31" s="239"/>
      <c r="Y31" s="239"/>
      <c r="Z31" s="239"/>
      <c r="AA31" s="239"/>
      <c r="AB31" s="239"/>
      <c r="AC31" s="239"/>
      <c r="AD31" s="239"/>
      <c r="AE31" s="239"/>
      <c r="AF31" s="239"/>
      <c r="AG31" s="239"/>
      <c r="AH31" s="239"/>
      <c r="AI31" s="239"/>
      <c r="AJ31" s="239"/>
      <c r="AK31" s="239"/>
      <c r="AL31" s="239"/>
      <c r="AM31" s="239"/>
      <c r="AN31" s="239"/>
      <c r="AO31" s="239"/>
      <c r="AP31" s="555">
        <v>3910.7</v>
      </c>
      <c r="AQ31" s="556">
        <v>3686.4</v>
      </c>
      <c r="AR31" s="556">
        <v>3589.8</v>
      </c>
      <c r="AS31" s="556">
        <v>3674.4</v>
      </c>
      <c r="AT31" s="556">
        <v>0</v>
      </c>
      <c r="AU31" s="557">
        <v>0</v>
      </c>
      <c r="AV31" s="556">
        <v>0</v>
      </c>
      <c r="AW31" s="556">
        <v>0</v>
      </c>
      <c r="AX31" s="558">
        <v>0</v>
      </c>
      <c r="AY31" s="559">
        <v>0</v>
      </c>
      <c r="AZ31" s="556">
        <v>0</v>
      </c>
      <c r="BA31" s="556">
        <v>0</v>
      </c>
      <c r="BB31" s="556">
        <v>0</v>
      </c>
      <c r="BC31" s="557">
        <v>0</v>
      </c>
      <c r="BD31" s="556">
        <v>0</v>
      </c>
      <c r="BE31" s="556">
        <v>0</v>
      </c>
      <c r="BF31" s="556">
        <v>0</v>
      </c>
    </row>
    <row r="32" spans="1:58" s="244" customFormat="1" ht="11.25">
      <c r="A32" s="239" t="s">
        <v>620</v>
      </c>
      <c r="B32" s="240" t="s">
        <v>621</v>
      </c>
      <c r="C32" s="241"/>
      <c r="D32" s="239"/>
      <c r="E32" s="239"/>
      <c r="F32" s="239"/>
      <c r="G32" s="239"/>
      <c r="H32" s="239"/>
      <c r="I32" s="239"/>
      <c r="J32" s="239"/>
      <c r="K32" s="239"/>
      <c r="L32" s="239"/>
      <c r="M32" s="239"/>
      <c r="N32" s="239"/>
      <c r="O32" s="239"/>
      <c r="P32" s="239"/>
      <c r="Q32" s="239"/>
      <c r="R32" s="239"/>
      <c r="S32" s="239"/>
      <c r="T32" s="239"/>
      <c r="U32" s="239"/>
      <c r="V32" s="239"/>
      <c r="W32" s="239"/>
      <c r="X32" s="239"/>
      <c r="Y32" s="239"/>
      <c r="Z32" s="239"/>
      <c r="AA32" s="239"/>
      <c r="AB32" s="239"/>
      <c r="AC32" s="239"/>
      <c r="AD32" s="239"/>
      <c r="AE32" s="239"/>
      <c r="AF32" s="239"/>
      <c r="AG32" s="239"/>
      <c r="AH32" s="239"/>
      <c r="AI32" s="239"/>
      <c r="AJ32" s="239"/>
      <c r="AK32" s="239"/>
      <c r="AL32" s="239"/>
      <c r="AM32" s="239"/>
      <c r="AN32" s="239"/>
      <c r="AO32" s="239"/>
      <c r="AP32" s="555">
        <v>329</v>
      </c>
      <c r="AQ32" s="556">
        <v>324.60000000000002</v>
      </c>
      <c r="AR32" s="556">
        <v>483.4</v>
      </c>
      <c r="AS32" s="556">
        <v>521.20000000000005</v>
      </c>
      <c r="AT32" s="556">
        <v>540.1</v>
      </c>
      <c r="AU32" s="557">
        <v>603</v>
      </c>
      <c r="AV32" s="556">
        <v>651.70000000000005</v>
      </c>
      <c r="AW32" s="556">
        <v>612</v>
      </c>
      <c r="AX32" s="558">
        <v>733</v>
      </c>
      <c r="AY32" s="559">
        <v>1029.7</v>
      </c>
      <c r="AZ32" s="556">
        <v>1081.0999999999999</v>
      </c>
      <c r="BA32" s="556">
        <v>1451.7</v>
      </c>
      <c r="BB32" s="556">
        <v>1598.6</v>
      </c>
      <c r="BC32" s="557">
        <v>1936.5</v>
      </c>
      <c r="BD32" s="556">
        <v>1368.3</v>
      </c>
      <c r="BE32" s="556">
        <v>1213</v>
      </c>
      <c r="BF32" s="556">
        <v>1272.2</v>
      </c>
    </row>
    <row r="33" spans="1:58" s="244" customFormat="1" ht="11.25">
      <c r="A33" s="239" t="s">
        <v>622</v>
      </c>
      <c r="B33" s="240" t="s">
        <v>623</v>
      </c>
      <c r="C33" s="241"/>
      <c r="D33" s="239"/>
      <c r="E33" s="239"/>
      <c r="F33" s="239"/>
      <c r="G33" s="239"/>
      <c r="H33" s="239"/>
      <c r="I33" s="239"/>
      <c r="J33" s="239"/>
      <c r="K33" s="239"/>
      <c r="L33" s="239"/>
      <c r="M33" s="239"/>
      <c r="N33" s="239"/>
      <c r="O33" s="239"/>
      <c r="P33" s="239"/>
      <c r="Q33" s="239"/>
      <c r="R33" s="239"/>
      <c r="S33" s="239"/>
      <c r="T33" s="239"/>
      <c r="U33" s="239"/>
      <c r="V33" s="239"/>
      <c r="W33" s="239"/>
      <c r="X33" s="239"/>
      <c r="Y33" s="239"/>
      <c r="Z33" s="239"/>
      <c r="AA33" s="239"/>
      <c r="AB33" s="239"/>
      <c r="AC33" s="239"/>
      <c r="AD33" s="239"/>
      <c r="AE33" s="239"/>
      <c r="AF33" s="239"/>
      <c r="AG33" s="239"/>
      <c r="AH33" s="239"/>
      <c r="AI33" s="239"/>
      <c r="AJ33" s="239"/>
      <c r="AK33" s="239"/>
      <c r="AL33" s="239"/>
      <c r="AM33" s="239"/>
      <c r="AN33" s="239"/>
      <c r="AO33" s="239"/>
      <c r="AP33" s="555">
        <v>0</v>
      </c>
      <c r="AQ33" s="556">
        <v>19.899999999999999</v>
      </c>
      <c r="AR33" s="556">
        <v>20</v>
      </c>
      <c r="AS33" s="556">
        <v>19.7</v>
      </c>
      <c r="AT33" s="556">
        <v>19.8</v>
      </c>
      <c r="AU33" s="557">
        <v>0</v>
      </c>
      <c r="AV33" s="556">
        <v>0</v>
      </c>
      <c r="AW33" s="556">
        <v>0</v>
      </c>
      <c r="AX33" s="558">
        <v>0</v>
      </c>
      <c r="AY33" s="559">
        <v>0</v>
      </c>
      <c r="AZ33" s="556">
        <v>0</v>
      </c>
      <c r="BA33" s="556">
        <v>0</v>
      </c>
      <c r="BB33" s="556">
        <v>0</v>
      </c>
      <c r="BC33" s="557">
        <v>0</v>
      </c>
      <c r="BD33" s="556">
        <v>0</v>
      </c>
      <c r="BE33" s="556">
        <v>0</v>
      </c>
      <c r="BF33" s="556">
        <v>0</v>
      </c>
    </row>
    <row r="34" spans="1:58" s="244" customFormat="1" ht="11.25">
      <c r="A34" s="239" t="s">
        <v>724</v>
      </c>
      <c r="B34" s="240" t="s">
        <v>624</v>
      </c>
      <c r="C34" s="241"/>
      <c r="D34" s="239"/>
      <c r="E34" s="239"/>
      <c r="F34" s="239"/>
      <c r="G34" s="239"/>
      <c r="H34" s="239"/>
      <c r="I34" s="239"/>
      <c r="J34" s="239"/>
      <c r="K34" s="239"/>
      <c r="L34" s="239"/>
      <c r="M34" s="239"/>
      <c r="N34" s="239"/>
      <c r="O34" s="239"/>
      <c r="P34" s="239"/>
      <c r="Q34" s="239"/>
      <c r="R34" s="239"/>
      <c r="S34" s="239"/>
      <c r="T34" s="239"/>
      <c r="U34" s="239"/>
      <c r="V34" s="239"/>
      <c r="W34" s="239"/>
      <c r="X34" s="239"/>
      <c r="Y34" s="239"/>
      <c r="Z34" s="239"/>
      <c r="AA34" s="239"/>
      <c r="AB34" s="239"/>
      <c r="AC34" s="239"/>
      <c r="AD34" s="239"/>
      <c r="AE34" s="239"/>
      <c r="AF34" s="239"/>
      <c r="AG34" s="239"/>
      <c r="AH34" s="239"/>
      <c r="AI34" s="239"/>
      <c r="AJ34" s="239"/>
      <c r="AK34" s="239"/>
      <c r="AL34" s="239"/>
      <c r="AM34" s="239"/>
      <c r="AN34" s="239"/>
      <c r="AO34" s="239"/>
      <c r="AP34" s="555">
        <v>106.9</v>
      </c>
      <c r="AQ34" s="556">
        <v>98.9</v>
      </c>
      <c r="AR34" s="556">
        <v>87.8</v>
      </c>
      <c r="AS34" s="556">
        <v>128.1</v>
      </c>
      <c r="AT34" s="556">
        <v>159.1</v>
      </c>
      <c r="AU34" s="557">
        <v>144.19999999999999</v>
      </c>
      <c r="AV34" s="556">
        <v>157.30000000000001</v>
      </c>
      <c r="AW34" s="556">
        <v>179.1</v>
      </c>
      <c r="AX34" s="558">
        <v>217.6</v>
      </c>
      <c r="AY34" s="559">
        <v>197.3</v>
      </c>
      <c r="AZ34" s="556">
        <v>378.1</v>
      </c>
      <c r="BA34" s="556">
        <v>428.7</v>
      </c>
      <c r="BB34" s="556">
        <v>698.19999999999993</v>
      </c>
      <c r="BC34" s="557">
        <v>420.2</v>
      </c>
      <c r="BD34" s="556">
        <v>814.7</v>
      </c>
      <c r="BE34" s="556">
        <v>609.6</v>
      </c>
      <c r="BF34" s="556">
        <v>661.1</v>
      </c>
    </row>
    <row r="35" spans="1:58" s="245" customFormat="1" ht="6" customHeight="1">
      <c r="A35" s="249"/>
      <c r="B35" s="250"/>
      <c r="C35" s="251"/>
      <c r="D35" s="249"/>
      <c r="E35" s="249"/>
      <c r="F35" s="249"/>
      <c r="G35" s="249"/>
      <c r="H35" s="249"/>
      <c r="I35" s="249"/>
      <c r="J35" s="249"/>
      <c r="K35" s="249"/>
      <c r="L35" s="249"/>
      <c r="M35" s="249"/>
      <c r="N35" s="249"/>
      <c r="O35" s="249"/>
      <c r="P35" s="249"/>
      <c r="Q35" s="249"/>
      <c r="R35" s="249"/>
      <c r="S35" s="249"/>
      <c r="T35" s="249"/>
      <c r="U35" s="249"/>
      <c r="V35" s="249"/>
      <c r="W35" s="249"/>
      <c r="X35" s="249"/>
      <c r="Y35" s="249"/>
      <c r="Z35" s="249"/>
      <c r="AA35" s="249"/>
      <c r="AB35" s="249"/>
      <c r="AC35" s="249"/>
      <c r="AD35" s="249"/>
      <c r="AE35" s="249"/>
      <c r="AF35" s="249"/>
      <c r="AG35" s="249"/>
      <c r="AH35" s="249"/>
      <c r="AI35" s="249"/>
      <c r="AJ35" s="249"/>
      <c r="AK35" s="249"/>
      <c r="AL35" s="249"/>
      <c r="AM35" s="249"/>
      <c r="AN35" s="249"/>
      <c r="AO35" s="249"/>
      <c r="AP35" s="252"/>
      <c r="AQ35" s="253"/>
      <c r="AR35" s="253"/>
      <c r="AS35" s="253"/>
      <c r="AT35" s="253"/>
      <c r="AU35" s="317"/>
      <c r="AV35" s="253"/>
      <c r="AW35" s="253"/>
      <c r="AX35" s="379"/>
      <c r="AY35" s="380"/>
      <c r="AZ35" s="253"/>
      <c r="BA35" s="253"/>
      <c r="BB35" s="253"/>
      <c r="BC35" s="317"/>
      <c r="BD35" s="253"/>
      <c r="BE35" s="253"/>
      <c r="BF35" s="253"/>
    </row>
    <row r="36" spans="1:58" s="245" customFormat="1" ht="21" customHeight="1">
      <c r="A36" s="216" t="s">
        <v>741</v>
      </c>
      <c r="B36" s="217" t="s">
        <v>737</v>
      </c>
      <c r="C36" s="218"/>
      <c r="D36" s="216"/>
      <c r="E36" s="216"/>
      <c r="F36" s="216"/>
      <c r="G36" s="216"/>
      <c r="H36" s="216"/>
      <c r="I36" s="216"/>
      <c r="J36" s="216"/>
      <c r="K36" s="216"/>
      <c r="L36" s="216"/>
      <c r="M36" s="216"/>
      <c r="N36" s="216"/>
      <c r="O36" s="216"/>
      <c r="P36" s="216"/>
      <c r="Q36" s="216"/>
      <c r="R36" s="216"/>
      <c r="S36" s="216"/>
      <c r="T36" s="216"/>
      <c r="U36" s="216"/>
      <c r="V36" s="216"/>
      <c r="W36" s="216"/>
      <c r="X36" s="216"/>
      <c r="Y36" s="216"/>
      <c r="Z36" s="216"/>
      <c r="AA36" s="216"/>
      <c r="AB36" s="216"/>
      <c r="AC36" s="216"/>
      <c r="AD36" s="216"/>
      <c r="AE36" s="216"/>
      <c r="AF36" s="216"/>
      <c r="AG36" s="216"/>
      <c r="AH36" s="216"/>
      <c r="AI36" s="216"/>
      <c r="AJ36" s="216"/>
      <c r="AK36" s="216"/>
      <c r="AL36" s="216"/>
      <c r="AM36" s="216"/>
      <c r="AN36" s="216"/>
      <c r="AO36" s="216"/>
      <c r="AP36" s="219">
        <f t="shared" ref="AP36:AU36" si="54">SUM(AP38,AP54)</f>
        <v>-1467.7000000000003</v>
      </c>
      <c r="AQ36" s="220">
        <f t="shared" si="54"/>
        <v>-1516.1</v>
      </c>
      <c r="AR36" s="220">
        <f t="shared" si="54"/>
        <v>-1535.9</v>
      </c>
      <c r="AS36" s="220">
        <f t="shared" si="54"/>
        <v>-1592.7</v>
      </c>
      <c r="AT36" s="220">
        <f t="shared" si="54"/>
        <v>-1667.5</v>
      </c>
      <c r="AU36" s="313">
        <f t="shared" si="54"/>
        <v>-2086.1999999999998</v>
      </c>
      <c r="AV36" s="220">
        <f t="shared" ref="AV36:AW36" si="55">SUM(AV38,AV54)</f>
        <v>-2235.9999999999995</v>
      </c>
      <c r="AW36" s="220">
        <f t="shared" si="55"/>
        <v>-2203.9</v>
      </c>
      <c r="AX36" s="373">
        <f t="shared" ref="AX36:AY36" si="56">SUM(AX38,AX54)</f>
        <v>-2269.9999999999995</v>
      </c>
      <c r="AY36" s="374">
        <f t="shared" si="56"/>
        <v>-2284.4000000000005</v>
      </c>
      <c r="AZ36" s="220">
        <f t="shared" ref="AZ36:BA36" si="57">SUM(AZ38,AZ54)</f>
        <v>-2422.7999999999997</v>
      </c>
      <c r="BA36" s="220">
        <f t="shared" si="57"/>
        <v>-2534.9</v>
      </c>
      <c r="BB36" s="220">
        <f t="shared" ref="BB36:BC36" si="58">SUM(BB38,BB54)</f>
        <v>-2446</v>
      </c>
      <c r="BC36" s="313">
        <f t="shared" si="58"/>
        <v>-2766.2</v>
      </c>
      <c r="BD36" s="220">
        <f t="shared" ref="BD36:BE36" si="59">SUM(BD38,BD54)</f>
        <v>-3048.0999999999995</v>
      </c>
      <c r="BE36" s="220">
        <f t="shared" si="59"/>
        <v>-3185.7999999999997</v>
      </c>
      <c r="BF36" s="220">
        <f t="shared" ref="BF36" si="60">SUM(BF38,BF54)</f>
        <v>-3270.4</v>
      </c>
    </row>
    <row r="37" spans="1:58" s="245" customFormat="1" ht="6" customHeight="1">
      <c r="A37" s="249"/>
      <c r="B37" s="250"/>
      <c r="C37" s="251"/>
      <c r="D37" s="249"/>
      <c r="E37" s="249"/>
      <c r="F37" s="249"/>
      <c r="G37" s="249"/>
      <c r="H37" s="249"/>
      <c r="I37" s="249"/>
      <c r="J37" s="249"/>
      <c r="K37" s="249"/>
      <c r="L37" s="249"/>
      <c r="M37" s="249"/>
      <c r="N37" s="249"/>
      <c r="O37" s="249"/>
      <c r="P37" s="249"/>
      <c r="Q37" s="249"/>
      <c r="R37" s="249"/>
      <c r="S37" s="249"/>
      <c r="T37" s="249"/>
      <c r="U37" s="249"/>
      <c r="V37" s="249"/>
      <c r="W37" s="249"/>
      <c r="X37" s="249"/>
      <c r="Y37" s="249"/>
      <c r="Z37" s="249"/>
      <c r="AA37" s="249"/>
      <c r="AB37" s="249"/>
      <c r="AC37" s="249"/>
      <c r="AD37" s="249"/>
      <c r="AE37" s="249"/>
      <c r="AF37" s="249"/>
      <c r="AG37" s="249"/>
      <c r="AH37" s="249"/>
      <c r="AI37" s="249"/>
      <c r="AJ37" s="249"/>
      <c r="AK37" s="249"/>
      <c r="AL37" s="249"/>
      <c r="AM37" s="249"/>
      <c r="AN37" s="249"/>
      <c r="AO37" s="249"/>
      <c r="AP37" s="252"/>
      <c r="AQ37" s="253"/>
      <c r="AR37" s="253"/>
      <c r="AS37" s="253"/>
      <c r="AT37" s="253"/>
      <c r="AU37" s="317"/>
      <c r="AV37" s="253"/>
      <c r="AW37" s="253"/>
      <c r="AX37" s="379"/>
      <c r="AY37" s="380"/>
      <c r="AZ37" s="253"/>
      <c r="BA37" s="253"/>
      <c r="BB37" s="253"/>
      <c r="BC37" s="317"/>
      <c r="BD37" s="253"/>
      <c r="BE37" s="253"/>
      <c r="BF37" s="253"/>
    </row>
    <row r="38" spans="1:58" s="245" customFormat="1" ht="11.25">
      <c r="A38" s="221" t="s">
        <v>743</v>
      </c>
      <c r="B38" s="222" t="s">
        <v>738</v>
      </c>
      <c r="C38" s="223"/>
      <c r="D38" s="221"/>
      <c r="E38" s="221"/>
      <c r="F38" s="221"/>
      <c r="G38" s="221"/>
      <c r="H38" s="221"/>
      <c r="I38" s="221"/>
      <c r="J38" s="221"/>
      <c r="K38" s="221"/>
      <c r="L38" s="221"/>
      <c r="M38" s="221"/>
      <c r="N38" s="221"/>
      <c r="O38" s="221"/>
      <c r="P38" s="221"/>
      <c r="Q38" s="221"/>
      <c r="R38" s="221"/>
      <c r="S38" s="221"/>
      <c r="T38" s="221"/>
      <c r="U38" s="221"/>
      <c r="V38" s="221"/>
      <c r="W38" s="221"/>
      <c r="X38" s="221"/>
      <c r="Y38" s="221"/>
      <c r="Z38" s="221"/>
      <c r="AA38" s="221"/>
      <c r="AB38" s="221"/>
      <c r="AC38" s="221"/>
      <c r="AD38" s="221"/>
      <c r="AE38" s="221"/>
      <c r="AF38" s="221"/>
      <c r="AG38" s="221"/>
      <c r="AH38" s="221"/>
      <c r="AI38" s="221"/>
      <c r="AJ38" s="221"/>
      <c r="AK38" s="221"/>
      <c r="AL38" s="221"/>
      <c r="AM38" s="221"/>
      <c r="AN38" s="221"/>
      <c r="AO38" s="221"/>
      <c r="AP38" s="224">
        <f t="shared" ref="AP38:AU38" si="61">SUM(AP39:AP41)</f>
        <v>-1467.0000000000002</v>
      </c>
      <c r="AQ38" s="225">
        <f t="shared" si="61"/>
        <v>-1515.3999999999999</v>
      </c>
      <c r="AR38" s="225">
        <f t="shared" si="61"/>
        <v>-1535.2</v>
      </c>
      <c r="AS38" s="225">
        <f t="shared" si="61"/>
        <v>-1592</v>
      </c>
      <c r="AT38" s="225">
        <f t="shared" si="61"/>
        <v>-1666.8</v>
      </c>
      <c r="AU38" s="314">
        <f t="shared" si="61"/>
        <v>-2086.1999999999998</v>
      </c>
      <c r="AV38" s="225">
        <f t="shared" ref="AV38:AW38" si="62">SUM(AV39:AV41)</f>
        <v>-2235.9999999999995</v>
      </c>
      <c r="AW38" s="225">
        <f t="shared" si="62"/>
        <v>-2203.9</v>
      </c>
      <c r="AX38" s="375">
        <f t="shared" ref="AX38" si="63">SUM(AX39:AX41)</f>
        <v>-2269.9999999999995</v>
      </c>
      <c r="AY38" s="376">
        <f t="shared" ref="AY38:AZ38" si="64">SUM(AY39:AY41)</f>
        <v>-2284.4000000000005</v>
      </c>
      <c r="AZ38" s="225">
        <f t="shared" si="64"/>
        <v>-2422.7999999999997</v>
      </c>
      <c r="BA38" s="225">
        <f t="shared" ref="BA38:BC38" si="65">SUM(BA39:BA41)</f>
        <v>-2534.9</v>
      </c>
      <c r="BB38" s="225">
        <f t="shared" si="65"/>
        <v>-2446</v>
      </c>
      <c r="BC38" s="314">
        <f t="shared" si="65"/>
        <v>-2766.2</v>
      </c>
      <c r="BD38" s="225">
        <f t="shared" ref="BD38:BE38" si="66">SUM(BD39:BD41)</f>
        <v>-3047.9999999999995</v>
      </c>
      <c r="BE38" s="225">
        <f t="shared" si="66"/>
        <v>-3185.7</v>
      </c>
      <c r="BF38" s="225">
        <f t="shared" ref="BF38" si="67">SUM(BF39:BF41)</f>
        <v>-3270.3</v>
      </c>
    </row>
    <row r="39" spans="1:58" s="568" customFormat="1" ht="11.25">
      <c r="A39" s="565" t="s">
        <v>593</v>
      </c>
      <c r="B39" s="566" t="s">
        <v>594</v>
      </c>
      <c r="C39" s="567"/>
      <c r="D39" s="565"/>
      <c r="E39" s="565"/>
      <c r="F39" s="565"/>
      <c r="G39" s="565"/>
      <c r="H39" s="565"/>
      <c r="I39" s="565"/>
      <c r="J39" s="565"/>
      <c r="K39" s="565"/>
      <c r="L39" s="565"/>
      <c r="M39" s="565"/>
      <c r="N39" s="565"/>
      <c r="O39" s="565"/>
      <c r="P39" s="565"/>
      <c r="Q39" s="565"/>
      <c r="R39" s="565"/>
      <c r="S39" s="565"/>
      <c r="T39" s="565"/>
      <c r="U39" s="565"/>
      <c r="V39" s="565"/>
      <c r="W39" s="565"/>
      <c r="X39" s="565"/>
      <c r="Y39" s="565"/>
      <c r="Z39" s="565"/>
      <c r="AA39" s="565"/>
      <c r="AB39" s="565"/>
      <c r="AC39" s="565"/>
      <c r="AD39" s="565"/>
      <c r="AE39" s="565"/>
      <c r="AF39" s="565"/>
      <c r="AG39" s="565"/>
      <c r="AH39" s="565"/>
      <c r="AI39" s="565"/>
      <c r="AJ39" s="565"/>
      <c r="AK39" s="565"/>
      <c r="AL39" s="565"/>
      <c r="AM39" s="565"/>
      <c r="AN39" s="565"/>
      <c r="AO39" s="565"/>
      <c r="AP39" s="555">
        <v>-584.6</v>
      </c>
      <c r="AQ39" s="556">
        <v>-623.29999999999995</v>
      </c>
      <c r="AR39" s="556">
        <v>-659.4</v>
      </c>
      <c r="AS39" s="556">
        <v>-664.6</v>
      </c>
      <c r="AT39" s="556">
        <v>-695.6</v>
      </c>
      <c r="AU39" s="557">
        <v>-1004.4</v>
      </c>
      <c r="AV39" s="556">
        <v>-1103.8</v>
      </c>
      <c r="AW39" s="556">
        <v>-1021.7</v>
      </c>
      <c r="AX39" s="558">
        <v>-1105.5999999999999</v>
      </c>
      <c r="AY39" s="559">
        <v>-1151.9000000000001</v>
      </c>
      <c r="AZ39" s="556">
        <v>-1224.2</v>
      </c>
      <c r="BA39" s="556">
        <v>-1327.1</v>
      </c>
      <c r="BB39" s="556">
        <v>-1203.9000000000001</v>
      </c>
      <c r="BC39" s="557">
        <v>-1378.8</v>
      </c>
      <c r="BD39" s="556">
        <v>-1489.1</v>
      </c>
      <c r="BE39" s="556">
        <v>-1588.8</v>
      </c>
      <c r="BF39" s="556">
        <v>-1694.7</v>
      </c>
    </row>
    <row r="40" spans="1:58" s="568" customFormat="1" ht="11.25">
      <c r="A40" s="565" t="s">
        <v>595</v>
      </c>
      <c r="B40" s="566" t="s">
        <v>596</v>
      </c>
      <c r="C40" s="567"/>
      <c r="D40" s="565"/>
      <c r="E40" s="565"/>
      <c r="F40" s="565"/>
      <c r="G40" s="565"/>
      <c r="H40" s="565"/>
      <c r="I40" s="565"/>
      <c r="J40" s="565"/>
      <c r="K40" s="565"/>
      <c r="L40" s="565"/>
      <c r="M40" s="565"/>
      <c r="N40" s="565"/>
      <c r="O40" s="565"/>
      <c r="P40" s="565"/>
      <c r="Q40" s="565"/>
      <c r="R40" s="565"/>
      <c r="S40" s="565"/>
      <c r="T40" s="565"/>
      <c r="U40" s="565"/>
      <c r="V40" s="565"/>
      <c r="W40" s="565"/>
      <c r="X40" s="565"/>
      <c r="Y40" s="565"/>
      <c r="Z40" s="565"/>
      <c r="AA40" s="565"/>
      <c r="AB40" s="565"/>
      <c r="AC40" s="565"/>
      <c r="AD40" s="565"/>
      <c r="AE40" s="565"/>
      <c r="AF40" s="565"/>
      <c r="AG40" s="565"/>
      <c r="AH40" s="565"/>
      <c r="AI40" s="565"/>
      <c r="AJ40" s="565"/>
      <c r="AK40" s="565"/>
      <c r="AL40" s="565"/>
      <c r="AM40" s="565"/>
      <c r="AN40" s="565"/>
      <c r="AO40" s="565"/>
      <c r="AP40" s="555">
        <v>-881.2</v>
      </c>
      <c r="AQ40" s="556">
        <v>-890.9</v>
      </c>
      <c r="AR40" s="556">
        <v>-874.5</v>
      </c>
      <c r="AS40" s="556">
        <v>-926.1</v>
      </c>
      <c r="AT40" s="556">
        <v>-970</v>
      </c>
      <c r="AU40" s="557">
        <v>-1080.3</v>
      </c>
      <c r="AV40" s="556">
        <v>-1131.5999999999999</v>
      </c>
      <c r="AW40" s="556">
        <v>-1181.8</v>
      </c>
      <c r="AX40" s="558">
        <v>-1164.3</v>
      </c>
      <c r="AY40" s="559">
        <v>-1132.2</v>
      </c>
      <c r="AZ40" s="556">
        <v>-1198.5</v>
      </c>
      <c r="BA40" s="556">
        <v>-1207.4000000000001</v>
      </c>
      <c r="BB40" s="556">
        <v>-1241.8</v>
      </c>
      <c r="BC40" s="557">
        <v>-1387.2</v>
      </c>
      <c r="BD40" s="556">
        <v>-1558.3</v>
      </c>
      <c r="BE40" s="556">
        <v>-1596.4</v>
      </c>
      <c r="BF40" s="556">
        <v>-1574.9</v>
      </c>
    </row>
    <row r="41" spans="1:58" s="568" customFormat="1" ht="11.25">
      <c r="A41" s="565" t="s">
        <v>597</v>
      </c>
      <c r="B41" s="566" t="s">
        <v>598</v>
      </c>
      <c r="C41" s="567"/>
      <c r="D41" s="565"/>
      <c r="E41" s="565"/>
      <c r="F41" s="565"/>
      <c r="G41" s="565"/>
      <c r="H41" s="565"/>
      <c r="I41" s="565"/>
      <c r="J41" s="565"/>
      <c r="K41" s="565"/>
      <c r="L41" s="565"/>
      <c r="M41" s="565"/>
      <c r="N41" s="565"/>
      <c r="O41" s="565"/>
      <c r="P41" s="565"/>
      <c r="Q41" s="565"/>
      <c r="R41" s="565"/>
      <c r="S41" s="565"/>
      <c r="T41" s="565"/>
      <c r="U41" s="565"/>
      <c r="V41" s="565"/>
      <c r="W41" s="565"/>
      <c r="X41" s="565"/>
      <c r="Y41" s="565"/>
      <c r="Z41" s="565"/>
      <c r="AA41" s="565"/>
      <c r="AB41" s="565"/>
      <c r="AC41" s="565"/>
      <c r="AD41" s="565"/>
      <c r="AE41" s="565"/>
      <c r="AF41" s="565"/>
      <c r="AG41" s="565"/>
      <c r="AH41" s="565"/>
      <c r="AI41" s="565"/>
      <c r="AJ41" s="565"/>
      <c r="AK41" s="565"/>
      <c r="AL41" s="565"/>
      <c r="AM41" s="565"/>
      <c r="AN41" s="565"/>
      <c r="AO41" s="565"/>
      <c r="AP41" s="555">
        <v>-1.2</v>
      </c>
      <c r="AQ41" s="556">
        <v>-1.2</v>
      </c>
      <c r="AR41" s="556">
        <v>-1.3</v>
      </c>
      <c r="AS41" s="556">
        <v>-1.3</v>
      </c>
      <c r="AT41" s="556">
        <v>-1.2</v>
      </c>
      <c r="AU41" s="557">
        <v>-1.5</v>
      </c>
      <c r="AV41" s="556">
        <v>-0.6</v>
      </c>
      <c r="AW41" s="556">
        <v>-0.4</v>
      </c>
      <c r="AX41" s="558">
        <v>-0.1</v>
      </c>
      <c r="AY41" s="559">
        <v>-0.3</v>
      </c>
      <c r="AZ41" s="556">
        <v>-0.1</v>
      </c>
      <c r="BA41" s="556">
        <v>-0.4</v>
      </c>
      <c r="BB41" s="556">
        <v>-0.3</v>
      </c>
      <c r="BC41" s="557">
        <v>-0.2</v>
      </c>
      <c r="BD41" s="556">
        <v>-0.6</v>
      </c>
      <c r="BE41" s="556">
        <v>-0.5</v>
      </c>
      <c r="BF41" s="556">
        <v>-0.7</v>
      </c>
    </row>
    <row r="42" spans="1:58" s="244" customFormat="1" ht="11.25">
      <c r="A42" s="231" t="s">
        <v>599</v>
      </c>
      <c r="B42" s="232" t="s">
        <v>600</v>
      </c>
      <c r="C42" s="233"/>
      <c r="D42" s="231"/>
      <c r="E42" s="231"/>
      <c r="F42" s="231"/>
      <c r="G42" s="231"/>
      <c r="H42" s="231"/>
      <c r="I42" s="231"/>
      <c r="J42" s="231"/>
      <c r="K42" s="231"/>
      <c r="L42" s="231"/>
      <c r="M42" s="231"/>
      <c r="N42" s="231"/>
      <c r="O42" s="231"/>
      <c r="P42" s="231"/>
      <c r="Q42" s="231"/>
      <c r="R42" s="231"/>
      <c r="S42" s="231"/>
      <c r="T42" s="231"/>
      <c r="U42" s="231"/>
      <c r="V42" s="231"/>
      <c r="W42" s="231"/>
      <c r="X42" s="231"/>
      <c r="Y42" s="231"/>
      <c r="Z42" s="231"/>
      <c r="AA42" s="231"/>
      <c r="AB42" s="231"/>
      <c r="AC42" s="231"/>
      <c r="AD42" s="231"/>
      <c r="AE42" s="231"/>
      <c r="AF42" s="231"/>
      <c r="AG42" s="231"/>
      <c r="AH42" s="231"/>
      <c r="AI42" s="231"/>
      <c r="AJ42" s="231"/>
      <c r="AK42" s="231"/>
      <c r="AL42" s="231"/>
      <c r="AM42" s="231"/>
      <c r="AN42" s="231"/>
      <c r="AO42" s="231"/>
      <c r="AP42" s="234">
        <f t="shared" ref="AP42:AU42" si="68">SUM(AP43,AP49)</f>
        <v>-1467</v>
      </c>
      <c r="AQ42" s="235">
        <f t="shared" si="68"/>
        <v>-1515.3999999999999</v>
      </c>
      <c r="AR42" s="235">
        <f t="shared" si="68"/>
        <v>-1535.2</v>
      </c>
      <c r="AS42" s="235">
        <f t="shared" si="68"/>
        <v>-1592</v>
      </c>
      <c r="AT42" s="235">
        <f t="shared" si="68"/>
        <v>-1666.8</v>
      </c>
      <c r="AU42" s="316">
        <f t="shared" si="68"/>
        <v>-2086.2000000000003</v>
      </c>
      <c r="AV42" s="235">
        <f>SUM(AV43,AV49)</f>
        <v>-2236</v>
      </c>
      <c r="AW42" s="235">
        <f>SUM(AW43,AW49)</f>
        <v>-2203.8999999999996</v>
      </c>
      <c r="AX42" s="377">
        <f>SUM(AX43,AX49)</f>
        <v>-2270</v>
      </c>
      <c r="AY42" s="378">
        <f t="shared" ref="AY42" si="69">SUM(AY43,AY49)</f>
        <v>-2284.4</v>
      </c>
      <c r="AZ42" s="235">
        <f t="shared" ref="AZ42:BC42" si="70">SUM(AZ43,AZ49)</f>
        <v>-2422.8000000000002</v>
      </c>
      <c r="BA42" s="235">
        <f t="shared" si="70"/>
        <v>-2534.8999999999996</v>
      </c>
      <c r="BB42" s="235">
        <f t="shared" si="70"/>
        <v>-2446</v>
      </c>
      <c r="BC42" s="316">
        <f t="shared" si="70"/>
        <v>-2766.2000000000003</v>
      </c>
      <c r="BD42" s="235">
        <f t="shared" ref="BD42:BE42" si="71">SUM(BD43,BD49)</f>
        <v>-3048</v>
      </c>
      <c r="BE42" s="235">
        <f t="shared" si="71"/>
        <v>-3185.7</v>
      </c>
      <c r="BF42" s="235">
        <f t="shared" ref="BF42" si="72">SUM(BF43,BF49)</f>
        <v>-3270.3</v>
      </c>
    </row>
    <row r="43" spans="1:58" s="568" customFormat="1" ht="11.25">
      <c r="A43" s="569" t="s">
        <v>601</v>
      </c>
      <c r="B43" s="570" t="s">
        <v>602</v>
      </c>
      <c r="C43" s="571"/>
      <c r="D43" s="569"/>
      <c r="E43" s="569"/>
      <c r="F43" s="569"/>
      <c r="G43" s="569"/>
      <c r="H43" s="569"/>
      <c r="I43" s="569"/>
      <c r="J43" s="569"/>
      <c r="K43" s="569"/>
      <c r="L43" s="569"/>
      <c r="M43" s="569"/>
      <c r="N43" s="569"/>
      <c r="O43" s="569"/>
      <c r="P43" s="569"/>
      <c r="Q43" s="569"/>
      <c r="R43" s="569"/>
      <c r="S43" s="569"/>
      <c r="T43" s="569"/>
      <c r="U43" s="569"/>
      <c r="V43" s="569"/>
      <c r="W43" s="569"/>
      <c r="X43" s="569"/>
      <c r="Y43" s="569"/>
      <c r="Z43" s="569"/>
      <c r="AA43" s="569"/>
      <c r="AB43" s="569"/>
      <c r="AC43" s="569"/>
      <c r="AD43" s="569"/>
      <c r="AE43" s="569"/>
      <c r="AF43" s="569"/>
      <c r="AG43" s="569"/>
      <c r="AH43" s="569"/>
      <c r="AI43" s="569"/>
      <c r="AJ43" s="569"/>
      <c r="AK43" s="569"/>
      <c r="AL43" s="569"/>
      <c r="AM43" s="569"/>
      <c r="AN43" s="569"/>
      <c r="AO43" s="569"/>
      <c r="AP43" s="560">
        <f t="shared" ref="AP43:AU43" si="73">SUM(AP44:AP48)</f>
        <v>-939.9</v>
      </c>
      <c r="AQ43" s="561">
        <f t="shared" si="73"/>
        <v>-952.39999999999986</v>
      </c>
      <c r="AR43" s="561">
        <f t="shared" si="73"/>
        <v>-933.60000000000014</v>
      </c>
      <c r="AS43" s="561">
        <f t="shared" si="73"/>
        <v>-989.9</v>
      </c>
      <c r="AT43" s="561">
        <f t="shared" si="73"/>
        <v>-1039</v>
      </c>
      <c r="AU43" s="562">
        <f t="shared" si="73"/>
        <v>-1157.5</v>
      </c>
      <c r="AV43" s="561">
        <f>SUM(AV44:AV48)</f>
        <v>-1211.5999999999999</v>
      </c>
      <c r="AW43" s="561">
        <f>SUM(AW44:AW48)</f>
        <v>-1275.8</v>
      </c>
      <c r="AX43" s="563">
        <f>SUM(AX44:AX48)</f>
        <v>-1261.5</v>
      </c>
      <c r="AY43" s="564">
        <f t="shared" ref="AY43" si="74">SUM(AY44:AY48)</f>
        <v>-1508.4</v>
      </c>
      <c r="AZ43" s="561">
        <f t="shared" ref="AZ43:BC43" si="75">SUM(AZ44:AZ48)</f>
        <v>-1614</v>
      </c>
      <c r="BA43" s="561">
        <f t="shared" si="75"/>
        <v>-1659.5999999999997</v>
      </c>
      <c r="BB43" s="561">
        <f t="shared" si="75"/>
        <v>-1685.9999999999998</v>
      </c>
      <c r="BC43" s="562">
        <f t="shared" si="75"/>
        <v>-1891.8000000000002</v>
      </c>
      <c r="BD43" s="561">
        <f t="shared" ref="BD43:BE43" si="76">SUM(BD44:BD48)</f>
        <v>-2110.5</v>
      </c>
      <c r="BE43" s="561">
        <f t="shared" si="76"/>
        <v>-2181.6</v>
      </c>
      <c r="BF43" s="561">
        <f t="shared" ref="BF43" si="77">SUM(BF44:BF48)</f>
        <v>-2183.2000000000003</v>
      </c>
    </row>
    <row r="44" spans="1:58" s="568" customFormat="1" ht="11.25">
      <c r="A44" s="572" t="s">
        <v>603</v>
      </c>
      <c r="B44" s="573" t="s">
        <v>604</v>
      </c>
      <c r="C44" s="574"/>
      <c r="D44" s="572"/>
      <c r="E44" s="572"/>
      <c r="F44" s="572"/>
      <c r="G44" s="572"/>
      <c r="H44" s="572"/>
      <c r="I44" s="572"/>
      <c r="J44" s="572"/>
      <c r="K44" s="572"/>
      <c r="L44" s="572"/>
      <c r="M44" s="572"/>
      <c r="N44" s="572"/>
      <c r="O44" s="572"/>
      <c r="P44" s="572"/>
      <c r="Q44" s="572"/>
      <c r="R44" s="572"/>
      <c r="S44" s="572"/>
      <c r="T44" s="572"/>
      <c r="U44" s="572"/>
      <c r="V44" s="572"/>
      <c r="W44" s="572"/>
      <c r="X44" s="572"/>
      <c r="Y44" s="572"/>
      <c r="Z44" s="572"/>
      <c r="AA44" s="572"/>
      <c r="AB44" s="572"/>
      <c r="AC44" s="572"/>
      <c r="AD44" s="572"/>
      <c r="AE44" s="572"/>
      <c r="AF44" s="572"/>
      <c r="AG44" s="572"/>
      <c r="AH44" s="572"/>
      <c r="AI44" s="572"/>
      <c r="AJ44" s="572"/>
      <c r="AK44" s="572"/>
      <c r="AL44" s="572"/>
      <c r="AM44" s="572"/>
      <c r="AN44" s="572"/>
      <c r="AO44" s="572"/>
      <c r="AP44" s="555">
        <v>-265.29999999999995</v>
      </c>
      <c r="AQ44" s="556">
        <v>-289.89999999999998</v>
      </c>
      <c r="AR44" s="556">
        <v>-287.5</v>
      </c>
      <c r="AS44" s="556">
        <v>-287.60000000000002</v>
      </c>
      <c r="AT44" s="556">
        <v>-310.59999999999997</v>
      </c>
      <c r="AU44" s="557">
        <v>-390.4</v>
      </c>
      <c r="AV44" s="556">
        <v>-406.20000000000005</v>
      </c>
      <c r="AW44" s="556">
        <v>-423</v>
      </c>
      <c r="AX44" s="558">
        <v>-460.1</v>
      </c>
      <c r="AY44" s="559">
        <v>-472.40000000000003</v>
      </c>
      <c r="AZ44" s="556">
        <v>-503.9</v>
      </c>
      <c r="BA44" s="556">
        <v>-521.09999999999991</v>
      </c>
      <c r="BB44" s="556">
        <v>-515.79999999999995</v>
      </c>
      <c r="BC44" s="557">
        <v>-550.1</v>
      </c>
      <c r="BD44" s="556">
        <v>-565.6</v>
      </c>
      <c r="BE44" s="556">
        <v>-588.19999999999993</v>
      </c>
      <c r="BF44" s="556">
        <v>-567.80000000000007</v>
      </c>
    </row>
    <row r="45" spans="1:58" s="568" customFormat="1" ht="11.25">
      <c r="A45" s="572" t="s">
        <v>605</v>
      </c>
      <c r="B45" s="573" t="s">
        <v>606</v>
      </c>
      <c r="C45" s="574"/>
      <c r="D45" s="572"/>
      <c r="E45" s="572"/>
      <c r="F45" s="572"/>
      <c r="G45" s="572"/>
      <c r="H45" s="572"/>
      <c r="I45" s="572"/>
      <c r="J45" s="572"/>
      <c r="K45" s="572"/>
      <c r="L45" s="572"/>
      <c r="M45" s="572"/>
      <c r="N45" s="572"/>
      <c r="O45" s="572"/>
      <c r="P45" s="572"/>
      <c r="Q45" s="572"/>
      <c r="R45" s="572"/>
      <c r="S45" s="572"/>
      <c r="T45" s="572"/>
      <c r="U45" s="572"/>
      <c r="V45" s="572"/>
      <c r="W45" s="572"/>
      <c r="X45" s="572"/>
      <c r="Y45" s="572"/>
      <c r="Z45" s="572"/>
      <c r="AA45" s="572"/>
      <c r="AB45" s="572"/>
      <c r="AC45" s="572"/>
      <c r="AD45" s="572"/>
      <c r="AE45" s="572"/>
      <c r="AF45" s="572"/>
      <c r="AG45" s="572"/>
      <c r="AH45" s="572"/>
      <c r="AI45" s="572"/>
      <c r="AJ45" s="572"/>
      <c r="AK45" s="572"/>
      <c r="AL45" s="572"/>
      <c r="AM45" s="572"/>
      <c r="AN45" s="572"/>
      <c r="AO45" s="572"/>
      <c r="AP45" s="555">
        <v>-585.20000000000005</v>
      </c>
      <c r="AQ45" s="556">
        <v>-583.19999999999993</v>
      </c>
      <c r="AR45" s="556">
        <v>-582.20000000000005</v>
      </c>
      <c r="AS45" s="556">
        <v>-631.79999999999995</v>
      </c>
      <c r="AT45" s="556">
        <v>-650.6</v>
      </c>
      <c r="AU45" s="557">
        <v>-702.5</v>
      </c>
      <c r="AV45" s="556">
        <v>-740.2</v>
      </c>
      <c r="AW45" s="556">
        <v>-782.2</v>
      </c>
      <c r="AX45" s="558">
        <v>-726.59999999999991</v>
      </c>
      <c r="AY45" s="559">
        <v>-953.40000000000009</v>
      </c>
      <c r="AZ45" s="556">
        <v>-1017.5</v>
      </c>
      <c r="BA45" s="556">
        <v>-1047.8</v>
      </c>
      <c r="BB45" s="556">
        <v>-1067.4000000000001</v>
      </c>
      <c r="BC45" s="557">
        <v>-1211.8</v>
      </c>
      <c r="BD45" s="556">
        <v>-1375.6000000000001</v>
      </c>
      <c r="BE45" s="556">
        <v>-1409</v>
      </c>
      <c r="BF45" s="556">
        <v>-1417.7000000000003</v>
      </c>
    </row>
    <row r="46" spans="1:58" s="568" customFormat="1" ht="11.25">
      <c r="A46" s="572" t="s">
        <v>607</v>
      </c>
      <c r="B46" s="573" t="s">
        <v>608</v>
      </c>
      <c r="C46" s="574"/>
      <c r="D46" s="572"/>
      <c r="E46" s="572"/>
      <c r="F46" s="572"/>
      <c r="G46" s="572"/>
      <c r="H46" s="572"/>
      <c r="I46" s="572"/>
      <c r="J46" s="572"/>
      <c r="K46" s="572"/>
      <c r="L46" s="572"/>
      <c r="M46" s="572"/>
      <c r="N46" s="572"/>
      <c r="O46" s="572"/>
      <c r="P46" s="572"/>
      <c r="Q46" s="572"/>
      <c r="R46" s="572"/>
      <c r="S46" s="572"/>
      <c r="T46" s="572"/>
      <c r="U46" s="572"/>
      <c r="V46" s="572"/>
      <c r="W46" s="572"/>
      <c r="X46" s="572"/>
      <c r="Y46" s="572"/>
      <c r="Z46" s="572"/>
      <c r="AA46" s="572"/>
      <c r="AB46" s="572"/>
      <c r="AC46" s="572"/>
      <c r="AD46" s="572"/>
      <c r="AE46" s="572"/>
      <c r="AF46" s="572"/>
      <c r="AG46" s="572"/>
      <c r="AH46" s="572"/>
      <c r="AI46" s="572"/>
      <c r="AJ46" s="572"/>
      <c r="AK46" s="572"/>
      <c r="AL46" s="572"/>
      <c r="AM46" s="572"/>
      <c r="AN46" s="572"/>
      <c r="AO46" s="572"/>
      <c r="AP46" s="555">
        <v>-49</v>
      </c>
      <c r="AQ46" s="556">
        <v>-39.299999999999997</v>
      </c>
      <c r="AR46" s="556">
        <v>-26.700000000000003</v>
      </c>
      <c r="AS46" s="556">
        <v>-26.9</v>
      </c>
      <c r="AT46" s="556">
        <v>-30.9</v>
      </c>
      <c r="AU46" s="557">
        <v>-42.3</v>
      </c>
      <c r="AV46" s="556">
        <v>-42.6</v>
      </c>
      <c r="AW46" s="556">
        <v>-43.5</v>
      </c>
      <c r="AX46" s="558">
        <v>-46.9</v>
      </c>
      <c r="AY46" s="559">
        <v>-55.5</v>
      </c>
      <c r="AZ46" s="556">
        <v>-57.199999999999996</v>
      </c>
      <c r="BA46" s="556">
        <v>-46.5</v>
      </c>
      <c r="BB46" s="556">
        <v>-62.1</v>
      </c>
      <c r="BC46" s="557">
        <v>-81.900000000000006</v>
      </c>
      <c r="BD46" s="556">
        <v>-113.2</v>
      </c>
      <c r="BE46" s="556">
        <v>-121.5</v>
      </c>
      <c r="BF46" s="556">
        <v>-134.5</v>
      </c>
    </row>
    <row r="47" spans="1:58" s="568" customFormat="1" ht="11.25">
      <c r="A47" s="572" t="s">
        <v>609</v>
      </c>
      <c r="B47" s="573" t="s">
        <v>610</v>
      </c>
      <c r="C47" s="574"/>
      <c r="D47" s="572"/>
      <c r="E47" s="572"/>
      <c r="F47" s="572"/>
      <c r="G47" s="572"/>
      <c r="H47" s="572"/>
      <c r="I47" s="572"/>
      <c r="J47" s="572"/>
      <c r="K47" s="572"/>
      <c r="L47" s="572"/>
      <c r="M47" s="572"/>
      <c r="N47" s="572"/>
      <c r="O47" s="572"/>
      <c r="P47" s="572"/>
      <c r="Q47" s="572"/>
      <c r="R47" s="572"/>
      <c r="S47" s="572"/>
      <c r="T47" s="572"/>
      <c r="U47" s="572"/>
      <c r="V47" s="572"/>
      <c r="W47" s="572"/>
      <c r="X47" s="572"/>
      <c r="Y47" s="572"/>
      <c r="Z47" s="572"/>
      <c r="AA47" s="572"/>
      <c r="AB47" s="572"/>
      <c r="AC47" s="572"/>
      <c r="AD47" s="572"/>
      <c r="AE47" s="572"/>
      <c r="AF47" s="572"/>
      <c r="AG47" s="572"/>
      <c r="AH47" s="572"/>
      <c r="AI47" s="572"/>
      <c r="AJ47" s="572"/>
      <c r="AK47" s="572"/>
      <c r="AL47" s="572"/>
      <c r="AM47" s="572"/>
      <c r="AN47" s="572"/>
      <c r="AO47" s="572"/>
      <c r="AP47" s="555">
        <v>-23.3</v>
      </c>
      <c r="AQ47" s="556">
        <v>-23.5</v>
      </c>
      <c r="AR47" s="556">
        <v>-21</v>
      </c>
      <c r="AS47" s="556">
        <v>-27.5</v>
      </c>
      <c r="AT47" s="556">
        <v>-30.8</v>
      </c>
      <c r="AU47" s="557">
        <v>-21.2</v>
      </c>
      <c r="AV47" s="556">
        <v>-22.3</v>
      </c>
      <c r="AW47" s="556">
        <v>-26.3</v>
      </c>
      <c r="AX47" s="558">
        <v>-27.4</v>
      </c>
      <c r="AY47" s="559">
        <v>-26.6</v>
      </c>
      <c r="AZ47" s="556">
        <v>-35.1</v>
      </c>
      <c r="BA47" s="556">
        <v>-43.600000000000009</v>
      </c>
      <c r="BB47" s="556">
        <v>-40.1</v>
      </c>
      <c r="BC47" s="557">
        <v>-47.400000000000006</v>
      </c>
      <c r="BD47" s="556">
        <v>-55.2</v>
      </c>
      <c r="BE47" s="556">
        <v>-62.3</v>
      </c>
      <c r="BF47" s="556">
        <v>-62.599999999999994</v>
      </c>
    </row>
    <row r="48" spans="1:58" s="568" customFormat="1" ht="11.25">
      <c r="A48" s="572" t="s">
        <v>611</v>
      </c>
      <c r="B48" s="573" t="s">
        <v>612</v>
      </c>
      <c r="C48" s="574"/>
      <c r="D48" s="572"/>
      <c r="E48" s="572"/>
      <c r="F48" s="572"/>
      <c r="G48" s="572"/>
      <c r="H48" s="572"/>
      <c r="I48" s="572"/>
      <c r="J48" s="572"/>
      <c r="K48" s="572"/>
      <c r="L48" s="572"/>
      <c r="M48" s="572"/>
      <c r="N48" s="572"/>
      <c r="O48" s="572"/>
      <c r="P48" s="572"/>
      <c r="Q48" s="572"/>
      <c r="R48" s="572"/>
      <c r="S48" s="572"/>
      <c r="T48" s="572"/>
      <c r="U48" s="572"/>
      <c r="V48" s="572"/>
      <c r="W48" s="572"/>
      <c r="X48" s="572"/>
      <c r="Y48" s="572"/>
      <c r="Z48" s="572"/>
      <c r="AA48" s="572"/>
      <c r="AB48" s="572"/>
      <c r="AC48" s="572"/>
      <c r="AD48" s="572"/>
      <c r="AE48" s="572"/>
      <c r="AF48" s="572"/>
      <c r="AG48" s="572"/>
      <c r="AH48" s="572"/>
      <c r="AI48" s="572"/>
      <c r="AJ48" s="572"/>
      <c r="AK48" s="572"/>
      <c r="AL48" s="572"/>
      <c r="AM48" s="572"/>
      <c r="AN48" s="572"/>
      <c r="AO48" s="572"/>
      <c r="AP48" s="555">
        <v>-17.100000000000001</v>
      </c>
      <c r="AQ48" s="556">
        <v>-16.5</v>
      </c>
      <c r="AR48" s="556">
        <v>-16.2</v>
      </c>
      <c r="AS48" s="556">
        <v>-16.100000000000001</v>
      </c>
      <c r="AT48" s="556">
        <v>-16.099999999999998</v>
      </c>
      <c r="AU48" s="557">
        <v>-1.1000000000000001</v>
      </c>
      <c r="AV48" s="556">
        <v>-0.30000000000000004</v>
      </c>
      <c r="AW48" s="556">
        <v>-0.8</v>
      </c>
      <c r="AX48" s="558">
        <v>-0.5</v>
      </c>
      <c r="AY48" s="559">
        <v>-0.5</v>
      </c>
      <c r="AZ48" s="556">
        <v>-0.3</v>
      </c>
      <c r="BA48" s="556">
        <v>-0.6</v>
      </c>
      <c r="BB48" s="556">
        <v>-0.60000000000000009</v>
      </c>
      <c r="BC48" s="557">
        <v>-0.60000000000000009</v>
      </c>
      <c r="BD48" s="556">
        <v>-0.9</v>
      </c>
      <c r="BE48" s="556">
        <v>-0.6</v>
      </c>
      <c r="BF48" s="556">
        <v>-0.6</v>
      </c>
    </row>
    <row r="49" spans="1:58" s="244" customFormat="1" ht="11.25">
      <c r="A49" s="236" t="s">
        <v>613</v>
      </c>
      <c r="B49" s="237" t="s">
        <v>614</v>
      </c>
      <c r="C49" s="238"/>
      <c r="D49" s="236"/>
      <c r="E49" s="236"/>
      <c r="F49" s="236"/>
      <c r="G49" s="236"/>
      <c r="H49" s="236"/>
      <c r="I49" s="236"/>
      <c r="J49" s="236"/>
      <c r="K49" s="236"/>
      <c r="L49" s="236"/>
      <c r="M49" s="236"/>
      <c r="N49" s="236"/>
      <c r="O49" s="236"/>
      <c r="P49" s="236"/>
      <c r="Q49" s="236"/>
      <c r="R49" s="236"/>
      <c r="S49" s="236"/>
      <c r="T49" s="236"/>
      <c r="U49" s="236"/>
      <c r="V49" s="236"/>
      <c r="W49" s="236"/>
      <c r="X49" s="236"/>
      <c r="Y49" s="236"/>
      <c r="Z49" s="236"/>
      <c r="AA49" s="236"/>
      <c r="AB49" s="236"/>
      <c r="AC49" s="236"/>
      <c r="AD49" s="236"/>
      <c r="AE49" s="236"/>
      <c r="AF49" s="236"/>
      <c r="AG49" s="236"/>
      <c r="AH49" s="236"/>
      <c r="AI49" s="236"/>
      <c r="AJ49" s="236"/>
      <c r="AK49" s="236"/>
      <c r="AL49" s="236"/>
      <c r="AM49" s="236"/>
      <c r="AN49" s="236"/>
      <c r="AO49" s="236"/>
      <c r="AP49" s="234">
        <f t="shared" ref="AP49:AU49" si="78">SUM(AP50:AP53)</f>
        <v>-527.1</v>
      </c>
      <c r="AQ49" s="235">
        <f t="shared" si="78"/>
        <v>-563</v>
      </c>
      <c r="AR49" s="235">
        <f t="shared" si="78"/>
        <v>-601.59999999999991</v>
      </c>
      <c r="AS49" s="235">
        <f t="shared" si="78"/>
        <v>-602.1</v>
      </c>
      <c r="AT49" s="235">
        <f t="shared" si="78"/>
        <v>-627.79999999999995</v>
      </c>
      <c r="AU49" s="316">
        <f t="shared" si="78"/>
        <v>-928.70000000000016</v>
      </c>
      <c r="AV49" s="235">
        <f t="shared" ref="AV49:AW49" si="79">SUM(AV50:AV53)</f>
        <v>-1024.4000000000001</v>
      </c>
      <c r="AW49" s="235">
        <f t="shared" si="79"/>
        <v>-928.09999999999991</v>
      </c>
      <c r="AX49" s="377">
        <f t="shared" ref="AX49" si="80">SUM(AX50:AX53)</f>
        <v>-1008.5</v>
      </c>
      <c r="AY49" s="378">
        <f t="shared" ref="AY49:AZ49" si="81">SUM(AY50:AY53)</f>
        <v>-776</v>
      </c>
      <c r="AZ49" s="235">
        <f t="shared" si="81"/>
        <v>-808.8</v>
      </c>
      <c r="BA49" s="235">
        <f t="shared" ref="BA49:BC49" si="82">SUM(BA50:BA53)</f>
        <v>-875.3</v>
      </c>
      <c r="BB49" s="235">
        <f t="shared" si="82"/>
        <v>-760</v>
      </c>
      <c r="BC49" s="316">
        <f t="shared" si="82"/>
        <v>-874.4</v>
      </c>
      <c r="BD49" s="235">
        <f t="shared" ref="BD49:BE49" si="83">SUM(BD50:BD53)</f>
        <v>-937.5</v>
      </c>
      <c r="BE49" s="235">
        <f t="shared" si="83"/>
        <v>-1004.1</v>
      </c>
      <c r="BF49" s="235">
        <f t="shared" ref="BF49" si="84">SUM(BF50:BF53)</f>
        <v>-1087.0999999999999</v>
      </c>
    </row>
    <row r="50" spans="1:58" s="568" customFormat="1" ht="11.25">
      <c r="A50" s="572" t="s">
        <v>615</v>
      </c>
      <c r="B50" s="573" t="s">
        <v>616</v>
      </c>
      <c r="C50" s="574"/>
      <c r="D50" s="572"/>
      <c r="E50" s="572"/>
      <c r="F50" s="572"/>
      <c r="G50" s="572"/>
      <c r="H50" s="572"/>
      <c r="I50" s="572"/>
      <c r="J50" s="572"/>
      <c r="K50" s="572"/>
      <c r="L50" s="572"/>
      <c r="M50" s="572"/>
      <c r="N50" s="572"/>
      <c r="O50" s="572"/>
      <c r="P50" s="572"/>
      <c r="Q50" s="572"/>
      <c r="R50" s="572"/>
      <c r="S50" s="572"/>
      <c r="T50" s="572"/>
      <c r="U50" s="572"/>
      <c r="V50" s="572"/>
      <c r="W50" s="572"/>
      <c r="X50" s="572"/>
      <c r="Y50" s="572"/>
      <c r="Z50" s="572"/>
      <c r="AA50" s="572"/>
      <c r="AB50" s="572"/>
      <c r="AC50" s="572"/>
      <c r="AD50" s="572"/>
      <c r="AE50" s="572"/>
      <c r="AF50" s="572"/>
      <c r="AG50" s="572"/>
      <c r="AH50" s="572"/>
      <c r="AI50" s="572"/>
      <c r="AJ50" s="572"/>
      <c r="AK50" s="572"/>
      <c r="AL50" s="572"/>
      <c r="AM50" s="572"/>
      <c r="AN50" s="572"/>
      <c r="AO50" s="572"/>
      <c r="AP50" s="555">
        <v>-185.3</v>
      </c>
      <c r="AQ50" s="556">
        <v>-189.1</v>
      </c>
      <c r="AR50" s="556">
        <v>-181.20000000000002</v>
      </c>
      <c r="AS50" s="556">
        <v>-176.3</v>
      </c>
      <c r="AT50" s="556">
        <v>-170.39999999999998</v>
      </c>
      <c r="AU50" s="557">
        <v>-231</v>
      </c>
      <c r="AV50" s="556">
        <v>-245.5</v>
      </c>
      <c r="AW50" s="556">
        <v>-232.39999999999998</v>
      </c>
      <c r="AX50" s="558">
        <v>-224.9</v>
      </c>
      <c r="AY50" s="559">
        <v>-227.8</v>
      </c>
      <c r="AZ50" s="556">
        <v>-200.1</v>
      </c>
      <c r="BA50" s="556">
        <v>-209</v>
      </c>
      <c r="BB50" s="556">
        <v>-174.3</v>
      </c>
      <c r="BC50" s="557">
        <v>-202</v>
      </c>
      <c r="BD50" s="556">
        <v>-224.1</v>
      </c>
      <c r="BE50" s="556">
        <v>-255.2</v>
      </c>
      <c r="BF50" s="556">
        <v>-279.3</v>
      </c>
    </row>
    <row r="51" spans="1:58" s="568" customFormat="1" ht="11.25">
      <c r="A51" s="572" t="s">
        <v>603</v>
      </c>
      <c r="B51" s="573" t="s">
        <v>604</v>
      </c>
      <c r="C51" s="574"/>
      <c r="D51" s="572"/>
      <c r="E51" s="572"/>
      <c r="F51" s="572"/>
      <c r="G51" s="572"/>
      <c r="H51" s="572"/>
      <c r="I51" s="572"/>
      <c r="J51" s="572"/>
      <c r="K51" s="572"/>
      <c r="L51" s="572"/>
      <c r="M51" s="572"/>
      <c r="N51" s="572"/>
      <c r="O51" s="572"/>
      <c r="P51" s="572"/>
      <c r="Q51" s="572"/>
      <c r="R51" s="572"/>
      <c r="S51" s="572"/>
      <c r="T51" s="572"/>
      <c r="U51" s="572"/>
      <c r="V51" s="572"/>
      <c r="W51" s="572"/>
      <c r="X51" s="572"/>
      <c r="Y51" s="572"/>
      <c r="Z51" s="572"/>
      <c r="AA51" s="572"/>
      <c r="AB51" s="572"/>
      <c r="AC51" s="572"/>
      <c r="AD51" s="572"/>
      <c r="AE51" s="572"/>
      <c r="AF51" s="572"/>
      <c r="AG51" s="572"/>
      <c r="AH51" s="572"/>
      <c r="AI51" s="572"/>
      <c r="AJ51" s="572"/>
      <c r="AK51" s="572"/>
      <c r="AL51" s="572"/>
      <c r="AM51" s="572"/>
      <c r="AN51" s="572"/>
      <c r="AO51" s="572"/>
      <c r="AP51" s="555">
        <v>-74</v>
      </c>
      <c r="AQ51" s="556">
        <v>-77.3</v>
      </c>
      <c r="AR51" s="556">
        <v>-83.300000000000011</v>
      </c>
      <c r="AS51" s="556">
        <v>-72.5</v>
      </c>
      <c r="AT51" s="556">
        <v>-75.2</v>
      </c>
      <c r="AU51" s="557">
        <v>-98.8</v>
      </c>
      <c r="AV51" s="556">
        <v>-104</v>
      </c>
      <c r="AW51" s="556">
        <v>-71.900000000000006</v>
      </c>
      <c r="AX51" s="558">
        <v>-105.8</v>
      </c>
      <c r="AY51" s="559">
        <v>-47.7</v>
      </c>
      <c r="AZ51" s="556">
        <v>-51.8</v>
      </c>
      <c r="BA51" s="556">
        <v>-55.9</v>
      </c>
      <c r="BB51" s="556">
        <v>-48.7</v>
      </c>
      <c r="BC51" s="557">
        <v>-54.4</v>
      </c>
      <c r="BD51" s="556">
        <v>-53.4</v>
      </c>
      <c r="BE51" s="556">
        <v>-53.2</v>
      </c>
      <c r="BF51" s="556">
        <v>-60.7</v>
      </c>
    </row>
    <row r="52" spans="1:58" s="568" customFormat="1" ht="11.25">
      <c r="A52" s="572" t="s">
        <v>607</v>
      </c>
      <c r="B52" s="573" t="s">
        <v>608</v>
      </c>
      <c r="C52" s="574"/>
      <c r="D52" s="572"/>
      <c r="E52" s="572"/>
      <c r="F52" s="572"/>
      <c r="G52" s="572"/>
      <c r="H52" s="572"/>
      <c r="I52" s="572"/>
      <c r="J52" s="572"/>
      <c r="K52" s="572"/>
      <c r="L52" s="572"/>
      <c r="M52" s="572"/>
      <c r="N52" s="572"/>
      <c r="O52" s="572"/>
      <c r="P52" s="572"/>
      <c r="Q52" s="572"/>
      <c r="R52" s="572"/>
      <c r="S52" s="572"/>
      <c r="T52" s="572"/>
      <c r="U52" s="572"/>
      <c r="V52" s="572"/>
      <c r="W52" s="572"/>
      <c r="X52" s="572"/>
      <c r="Y52" s="572"/>
      <c r="Z52" s="572"/>
      <c r="AA52" s="572"/>
      <c r="AB52" s="572"/>
      <c r="AC52" s="572"/>
      <c r="AD52" s="572"/>
      <c r="AE52" s="572"/>
      <c r="AF52" s="572"/>
      <c r="AG52" s="572"/>
      <c r="AH52" s="572"/>
      <c r="AI52" s="572"/>
      <c r="AJ52" s="572"/>
      <c r="AK52" s="572"/>
      <c r="AL52" s="572"/>
      <c r="AM52" s="572"/>
      <c r="AN52" s="572"/>
      <c r="AO52" s="572"/>
      <c r="AP52" s="555">
        <v>-1</v>
      </c>
      <c r="AQ52" s="556">
        <v>-1</v>
      </c>
      <c r="AR52" s="556">
        <v>-1.2</v>
      </c>
      <c r="AS52" s="556">
        <v>-1.8</v>
      </c>
      <c r="AT52" s="556">
        <v>-2</v>
      </c>
      <c r="AU52" s="557">
        <v>-2.2999999999999998</v>
      </c>
      <c r="AV52" s="556">
        <v>-3.4</v>
      </c>
      <c r="AW52" s="556">
        <v>-3.7</v>
      </c>
      <c r="AX52" s="558">
        <v>-3.6</v>
      </c>
      <c r="AY52" s="559">
        <v>0</v>
      </c>
      <c r="AZ52" s="556">
        <v>0</v>
      </c>
      <c r="BA52" s="556">
        <v>0</v>
      </c>
      <c r="BB52" s="556">
        <v>0</v>
      </c>
      <c r="BC52" s="557">
        <v>0</v>
      </c>
      <c r="BD52" s="556">
        <v>0</v>
      </c>
      <c r="BE52" s="556">
        <v>0</v>
      </c>
      <c r="BF52" s="556">
        <v>0</v>
      </c>
    </row>
    <row r="53" spans="1:58" s="568" customFormat="1" ht="11.25">
      <c r="A53" s="572" t="s">
        <v>617</v>
      </c>
      <c r="B53" s="573" t="s">
        <v>618</v>
      </c>
      <c r="C53" s="574"/>
      <c r="D53" s="572"/>
      <c r="E53" s="572"/>
      <c r="F53" s="572"/>
      <c r="G53" s="572"/>
      <c r="H53" s="572"/>
      <c r="I53" s="572"/>
      <c r="J53" s="572"/>
      <c r="K53" s="572"/>
      <c r="L53" s="572"/>
      <c r="M53" s="572"/>
      <c r="N53" s="572"/>
      <c r="O53" s="572"/>
      <c r="P53" s="572"/>
      <c r="Q53" s="572"/>
      <c r="R53" s="572"/>
      <c r="S53" s="572"/>
      <c r="T53" s="572"/>
      <c r="U53" s="572"/>
      <c r="V53" s="572"/>
      <c r="W53" s="572"/>
      <c r="X53" s="572"/>
      <c r="Y53" s="572"/>
      <c r="Z53" s="572"/>
      <c r="AA53" s="572"/>
      <c r="AB53" s="572"/>
      <c r="AC53" s="572"/>
      <c r="AD53" s="572"/>
      <c r="AE53" s="572"/>
      <c r="AF53" s="572"/>
      <c r="AG53" s="572"/>
      <c r="AH53" s="572"/>
      <c r="AI53" s="572"/>
      <c r="AJ53" s="572"/>
      <c r="AK53" s="572"/>
      <c r="AL53" s="572"/>
      <c r="AM53" s="572"/>
      <c r="AN53" s="572"/>
      <c r="AO53" s="572"/>
      <c r="AP53" s="555">
        <v>-266.8</v>
      </c>
      <c r="AQ53" s="556">
        <v>-295.59999999999997</v>
      </c>
      <c r="AR53" s="556">
        <v>-335.9</v>
      </c>
      <c r="AS53" s="556">
        <v>-351.5</v>
      </c>
      <c r="AT53" s="556">
        <v>-380.2</v>
      </c>
      <c r="AU53" s="557">
        <v>-596.60000000000014</v>
      </c>
      <c r="AV53" s="556">
        <v>-671.5</v>
      </c>
      <c r="AW53" s="556">
        <v>-620.1</v>
      </c>
      <c r="AX53" s="558">
        <v>-674.2</v>
      </c>
      <c r="AY53" s="559">
        <v>-500.5</v>
      </c>
      <c r="AZ53" s="556">
        <v>-556.9</v>
      </c>
      <c r="BA53" s="556">
        <v>-610.4</v>
      </c>
      <c r="BB53" s="556">
        <v>-537</v>
      </c>
      <c r="BC53" s="557">
        <v>-618</v>
      </c>
      <c r="BD53" s="556">
        <v>-660</v>
      </c>
      <c r="BE53" s="556">
        <v>-695.7</v>
      </c>
      <c r="BF53" s="556">
        <v>-747.1</v>
      </c>
    </row>
    <row r="54" spans="1:58" s="245" customFormat="1" ht="11.25">
      <c r="A54" s="221" t="s">
        <v>740</v>
      </c>
      <c r="B54" s="222" t="s">
        <v>739</v>
      </c>
      <c r="C54" s="223"/>
      <c r="D54" s="221"/>
      <c r="E54" s="221"/>
      <c r="F54" s="221"/>
      <c r="G54" s="221"/>
      <c r="H54" s="221"/>
      <c r="I54" s="221"/>
      <c r="J54" s="221"/>
      <c r="K54" s="221"/>
      <c r="L54" s="221"/>
      <c r="M54" s="221"/>
      <c r="N54" s="221"/>
      <c r="O54" s="221"/>
      <c r="P54" s="221"/>
      <c r="Q54" s="221"/>
      <c r="R54" s="221"/>
      <c r="S54" s="221"/>
      <c r="T54" s="221"/>
      <c r="U54" s="221"/>
      <c r="V54" s="221"/>
      <c r="W54" s="221"/>
      <c r="X54" s="221"/>
      <c r="Y54" s="221"/>
      <c r="Z54" s="221"/>
      <c r="AA54" s="221"/>
      <c r="AB54" s="221"/>
      <c r="AC54" s="221"/>
      <c r="AD54" s="221"/>
      <c r="AE54" s="221"/>
      <c r="AF54" s="221"/>
      <c r="AG54" s="221"/>
      <c r="AH54" s="221"/>
      <c r="AI54" s="221"/>
      <c r="AJ54" s="221"/>
      <c r="AK54" s="221"/>
      <c r="AL54" s="221"/>
      <c r="AM54" s="221"/>
      <c r="AN54" s="221"/>
      <c r="AO54" s="221"/>
      <c r="AP54" s="224">
        <f t="shared" ref="AP54:AU54" si="85">SUM(AP55:AP58)</f>
        <v>-0.7</v>
      </c>
      <c r="AQ54" s="225">
        <f t="shared" si="85"/>
        <v>-0.7</v>
      </c>
      <c r="AR54" s="225">
        <f t="shared" si="85"/>
        <v>-0.7</v>
      </c>
      <c r="AS54" s="225">
        <f t="shared" si="85"/>
        <v>-0.7</v>
      </c>
      <c r="AT54" s="225">
        <f t="shared" si="85"/>
        <v>-0.7</v>
      </c>
      <c r="AU54" s="314">
        <f t="shared" si="85"/>
        <v>0</v>
      </c>
      <c r="AV54" s="225">
        <f t="shared" ref="AV54:AW54" si="86">SUM(AV55:AV58)</f>
        <v>0</v>
      </c>
      <c r="AW54" s="225">
        <f t="shared" si="86"/>
        <v>0</v>
      </c>
      <c r="AX54" s="375">
        <f t="shared" ref="AX54" si="87">SUM(AX55:AX58)</f>
        <v>0</v>
      </c>
      <c r="AY54" s="376">
        <f t="shared" ref="AY54:AZ54" si="88">SUM(AY55:AY58)</f>
        <v>0</v>
      </c>
      <c r="AZ54" s="225">
        <f t="shared" si="88"/>
        <v>0</v>
      </c>
      <c r="BA54" s="225">
        <f t="shared" ref="BA54:BC54" si="89">SUM(BA55:BA58)</f>
        <v>0</v>
      </c>
      <c r="BB54" s="225">
        <f t="shared" si="89"/>
        <v>0</v>
      </c>
      <c r="BC54" s="314">
        <f t="shared" si="89"/>
        <v>0</v>
      </c>
      <c r="BD54" s="225">
        <f t="shared" ref="BD54:BE54" si="90">SUM(BD55:BD58)</f>
        <v>-0.1</v>
      </c>
      <c r="BE54" s="225">
        <f t="shared" si="90"/>
        <v>-0.1</v>
      </c>
      <c r="BF54" s="225">
        <f t="shared" ref="BF54" si="91">SUM(BF55:BF58)</f>
        <v>-0.1</v>
      </c>
    </row>
    <row r="55" spans="1:58" s="568" customFormat="1" ht="11.25">
      <c r="A55" s="572" t="s">
        <v>723</v>
      </c>
      <c r="B55" s="573" t="s">
        <v>619</v>
      </c>
      <c r="C55" s="574"/>
      <c r="D55" s="572"/>
      <c r="E55" s="572"/>
      <c r="F55" s="572"/>
      <c r="G55" s="572"/>
      <c r="H55" s="572"/>
      <c r="I55" s="572"/>
      <c r="J55" s="572"/>
      <c r="K55" s="572"/>
      <c r="L55" s="572"/>
      <c r="M55" s="572"/>
      <c r="N55" s="572"/>
      <c r="O55" s="572"/>
      <c r="P55" s="572"/>
      <c r="Q55" s="572"/>
      <c r="R55" s="572"/>
      <c r="S55" s="572"/>
      <c r="T55" s="572"/>
      <c r="U55" s="572"/>
      <c r="V55" s="572"/>
      <c r="W55" s="572"/>
      <c r="X55" s="572"/>
      <c r="Y55" s="572"/>
      <c r="Z55" s="572"/>
      <c r="AA55" s="572"/>
      <c r="AB55" s="572"/>
      <c r="AC55" s="572"/>
      <c r="AD55" s="572"/>
      <c r="AE55" s="572"/>
      <c r="AF55" s="572"/>
      <c r="AG55" s="572"/>
      <c r="AH55" s="572"/>
      <c r="AI55" s="572"/>
      <c r="AJ55" s="572"/>
      <c r="AK55" s="572"/>
      <c r="AL55" s="572"/>
      <c r="AM55" s="572"/>
      <c r="AN55" s="572"/>
      <c r="AO55" s="572"/>
      <c r="AP55" s="555">
        <v>-0.7</v>
      </c>
      <c r="AQ55" s="556">
        <v>-0.7</v>
      </c>
      <c r="AR55" s="556">
        <v>-0.7</v>
      </c>
      <c r="AS55" s="556">
        <v>-0.7</v>
      </c>
      <c r="AT55" s="556">
        <v>-0.7</v>
      </c>
      <c r="AU55" s="557">
        <v>0</v>
      </c>
      <c r="AV55" s="556">
        <v>0</v>
      </c>
      <c r="AW55" s="556">
        <v>0</v>
      </c>
      <c r="AX55" s="558">
        <v>0</v>
      </c>
      <c r="AY55" s="559">
        <v>0</v>
      </c>
      <c r="AZ55" s="556">
        <v>0</v>
      </c>
      <c r="BA55" s="556">
        <v>0</v>
      </c>
      <c r="BB55" s="556">
        <v>0</v>
      </c>
      <c r="BC55" s="557">
        <v>0</v>
      </c>
      <c r="BD55" s="556">
        <v>0</v>
      </c>
      <c r="BE55" s="556">
        <v>0</v>
      </c>
      <c r="BF55" s="556">
        <v>0</v>
      </c>
    </row>
    <row r="56" spans="1:58" s="568" customFormat="1" ht="11.25">
      <c r="A56" s="572" t="s">
        <v>620</v>
      </c>
      <c r="B56" s="573" t="s">
        <v>621</v>
      </c>
      <c r="C56" s="574"/>
      <c r="D56" s="572"/>
      <c r="E56" s="572"/>
      <c r="F56" s="572"/>
      <c r="G56" s="572"/>
      <c r="H56" s="572"/>
      <c r="I56" s="572"/>
      <c r="J56" s="572"/>
      <c r="K56" s="572"/>
      <c r="L56" s="572"/>
      <c r="M56" s="572"/>
      <c r="N56" s="572"/>
      <c r="O56" s="572"/>
      <c r="P56" s="572"/>
      <c r="Q56" s="572"/>
      <c r="R56" s="572"/>
      <c r="S56" s="572"/>
      <c r="T56" s="572"/>
      <c r="U56" s="572"/>
      <c r="V56" s="572"/>
      <c r="W56" s="572"/>
      <c r="X56" s="572"/>
      <c r="Y56" s="572"/>
      <c r="Z56" s="572"/>
      <c r="AA56" s="572"/>
      <c r="AB56" s="572"/>
      <c r="AC56" s="572"/>
      <c r="AD56" s="572"/>
      <c r="AE56" s="572"/>
      <c r="AF56" s="572"/>
      <c r="AG56" s="572"/>
      <c r="AH56" s="572"/>
      <c r="AI56" s="572"/>
      <c r="AJ56" s="572"/>
      <c r="AK56" s="572"/>
      <c r="AL56" s="572"/>
      <c r="AM56" s="572"/>
      <c r="AN56" s="572"/>
      <c r="AO56" s="572"/>
      <c r="AP56" s="555">
        <v>0</v>
      </c>
      <c r="AQ56" s="556">
        <v>0</v>
      </c>
      <c r="AR56" s="556">
        <v>0</v>
      </c>
      <c r="AS56" s="556">
        <v>0</v>
      </c>
      <c r="AT56" s="556">
        <v>0</v>
      </c>
      <c r="AU56" s="557">
        <v>0</v>
      </c>
      <c r="AV56" s="556">
        <v>0</v>
      </c>
      <c r="AW56" s="556">
        <v>0</v>
      </c>
      <c r="AX56" s="558">
        <v>0</v>
      </c>
      <c r="AY56" s="559">
        <v>0</v>
      </c>
      <c r="AZ56" s="556">
        <v>0</v>
      </c>
      <c r="BA56" s="556">
        <v>0</v>
      </c>
      <c r="BB56" s="556">
        <v>0</v>
      </c>
      <c r="BC56" s="557">
        <v>0</v>
      </c>
      <c r="BD56" s="556">
        <v>-0.1</v>
      </c>
      <c r="BE56" s="556">
        <v>-0.1</v>
      </c>
      <c r="BF56" s="556">
        <v>0</v>
      </c>
    </row>
    <row r="57" spans="1:58" s="568" customFormat="1" ht="11.25">
      <c r="A57" s="572" t="s">
        <v>622</v>
      </c>
      <c r="B57" s="573" t="s">
        <v>623</v>
      </c>
      <c r="C57" s="574"/>
      <c r="D57" s="572"/>
      <c r="E57" s="572"/>
      <c r="F57" s="572"/>
      <c r="G57" s="572"/>
      <c r="H57" s="572"/>
      <c r="I57" s="572"/>
      <c r="J57" s="572"/>
      <c r="K57" s="572"/>
      <c r="L57" s="572"/>
      <c r="M57" s="572"/>
      <c r="N57" s="572"/>
      <c r="O57" s="572"/>
      <c r="P57" s="572"/>
      <c r="Q57" s="572"/>
      <c r="R57" s="572"/>
      <c r="S57" s="572"/>
      <c r="T57" s="572"/>
      <c r="U57" s="572"/>
      <c r="V57" s="572"/>
      <c r="W57" s="572"/>
      <c r="X57" s="572"/>
      <c r="Y57" s="572"/>
      <c r="Z57" s="572"/>
      <c r="AA57" s="572"/>
      <c r="AB57" s="572"/>
      <c r="AC57" s="572"/>
      <c r="AD57" s="572"/>
      <c r="AE57" s="572"/>
      <c r="AF57" s="572"/>
      <c r="AG57" s="572"/>
      <c r="AH57" s="572"/>
      <c r="AI57" s="572"/>
      <c r="AJ57" s="572"/>
      <c r="AK57" s="572"/>
      <c r="AL57" s="572"/>
      <c r="AM57" s="572"/>
      <c r="AN57" s="572"/>
      <c r="AO57" s="572"/>
      <c r="AP57" s="555">
        <v>0</v>
      </c>
      <c r="AQ57" s="556">
        <v>0</v>
      </c>
      <c r="AR57" s="556">
        <v>0</v>
      </c>
      <c r="AS57" s="556">
        <v>0</v>
      </c>
      <c r="AT57" s="556">
        <v>0</v>
      </c>
      <c r="AU57" s="557">
        <v>0</v>
      </c>
      <c r="AV57" s="556">
        <v>0</v>
      </c>
      <c r="AW57" s="556">
        <v>0</v>
      </c>
      <c r="AX57" s="558">
        <v>0</v>
      </c>
      <c r="AY57" s="559">
        <v>0</v>
      </c>
      <c r="AZ57" s="556">
        <v>0</v>
      </c>
      <c r="BA57" s="556">
        <v>0</v>
      </c>
      <c r="BB57" s="556">
        <v>0</v>
      </c>
      <c r="BC57" s="557">
        <v>0</v>
      </c>
      <c r="BD57" s="556">
        <v>0</v>
      </c>
      <c r="BE57" s="556">
        <v>0</v>
      </c>
      <c r="BF57" s="556">
        <v>0</v>
      </c>
    </row>
    <row r="58" spans="1:58" s="568" customFormat="1" ht="11.25">
      <c r="A58" s="572" t="s">
        <v>724</v>
      </c>
      <c r="B58" s="573" t="s">
        <v>624</v>
      </c>
      <c r="C58" s="574"/>
      <c r="D58" s="572"/>
      <c r="E58" s="572"/>
      <c r="F58" s="572"/>
      <c r="G58" s="572"/>
      <c r="H58" s="572"/>
      <c r="I58" s="572"/>
      <c r="J58" s="572"/>
      <c r="K58" s="572"/>
      <c r="L58" s="572"/>
      <c r="M58" s="572"/>
      <c r="N58" s="572"/>
      <c r="O58" s="572"/>
      <c r="P58" s="572"/>
      <c r="Q58" s="572"/>
      <c r="R58" s="572"/>
      <c r="S58" s="572"/>
      <c r="T58" s="572"/>
      <c r="U58" s="572"/>
      <c r="V58" s="572"/>
      <c r="W58" s="572"/>
      <c r="X58" s="572"/>
      <c r="Y58" s="572"/>
      <c r="Z58" s="572"/>
      <c r="AA58" s="572"/>
      <c r="AB58" s="572"/>
      <c r="AC58" s="572"/>
      <c r="AD58" s="572"/>
      <c r="AE58" s="572"/>
      <c r="AF58" s="572"/>
      <c r="AG58" s="572"/>
      <c r="AH58" s="572"/>
      <c r="AI58" s="572"/>
      <c r="AJ58" s="572"/>
      <c r="AK58" s="572"/>
      <c r="AL58" s="572"/>
      <c r="AM58" s="572"/>
      <c r="AN58" s="572"/>
      <c r="AO58" s="572"/>
      <c r="AP58" s="555">
        <v>0</v>
      </c>
      <c r="AQ58" s="556">
        <v>0</v>
      </c>
      <c r="AR58" s="556">
        <v>0</v>
      </c>
      <c r="AS58" s="556">
        <v>0</v>
      </c>
      <c r="AT58" s="556">
        <v>0</v>
      </c>
      <c r="AU58" s="557">
        <v>0</v>
      </c>
      <c r="AV58" s="556">
        <v>0</v>
      </c>
      <c r="AW58" s="556">
        <v>0</v>
      </c>
      <c r="AX58" s="558">
        <v>0</v>
      </c>
      <c r="AY58" s="559">
        <v>0</v>
      </c>
      <c r="AZ58" s="556">
        <v>0</v>
      </c>
      <c r="BA58" s="556">
        <v>0</v>
      </c>
      <c r="BB58" s="556">
        <v>0</v>
      </c>
      <c r="BC58" s="557">
        <v>0</v>
      </c>
      <c r="BD58" s="556">
        <v>0</v>
      </c>
      <c r="BE58" s="556">
        <v>0</v>
      </c>
      <c r="BF58" s="556">
        <v>-0.1</v>
      </c>
    </row>
    <row r="59" spans="1:58" s="245" customFormat="1" ht="6" customHeight="1">
      <c r="A59" s="249"/>
      <c r="B59" s="250"/>
      <c r="C59" s="251"/>
      <c r="D59" s="249"/>
      <c r="E59" s="249"/>
      <c r="F59" s="249"/>
      <c r="G59" s="249"/>
      <c r="H59" s="249"/>
      <c r="I59" s="249"/>
      <c r="J59" s="249"/>
      <c r="K59" s="249"/>
      <c r="L59" s="249"/>
      <c r="M59" s="249"/>
      <c r="N59" s="249"/>
      <c r="O59" s="249"/>
      <c r="P59" s="249"/>
      <c r="Q59" s="249"/>
      <c r="R59" s="249"/>
      <c r="S59" s="249"/>
      <c r="T59" s="249"/>
      <c r="U59" s="249"/>
      <c r="V59" s="249"/>
      <c r="W59" s="249"/>
      <c r="X59" s="249"/>
      <c r="Y59" s="249"/>
      <c r="Z59" s="249"/>
      <c r="AA59" s="249"/>
      <c r="AB59" s="249"/>
      <c r="AC59" s="249"/>
      <c r="AD59" s="249"/>
      <c r="AE59" s="249"/>
      <c r="AF59" s="249"/>
      <c r="AG59" s="249"/>
      <c r="AH59" s="249"/>
      <c r="AI59" s="249"/>
      <c r="AJ59" s="249"/>
      <c r="AK59" s="249"/>
      <c r="AL59" s="249"/>
      <c r="AM59" s="249"/>
      <c r="AN59" s="249"/>
      <c r="AO59" s="249"/>
      <c r="AP59" s="252"/>
      <c r="AQ59" s="253"/>
      <c r="AR59" s="253"/>
      <c r="AS59" s="253"/>
      <c r="AT59" s="253"/>
      <c r="AU59" s="317"/>
      <c r="AV59" s="253"/>
      <c r="AW59" s="253"/>
      <c r="AX59" s="379"/>
      <c r="AY59" s="380"/>
      <c r="AZ59" s="253"/>
      <c r="BA59" s="253"/>
      <c r="BB59" s="253"/>
      <c r="BC59" s="317"/>
      <c r="BD59" s="253"/>
      <c r="BE59" s="253"/>
      <c r="BF59" s="253"/>
    </row>
    <row r="60" spans="1:58" s="245" customFormat="1" ht="15" customHeight="1">
      <c r="A60" s="216" t="s">
        <v>732</v>
      </c>
      <c r="B60" s="217" t="s">
        <v>733</v>
      </c>
      <c r="C60" s="218"/>
      <c r="D60" s="216"/>
      <c r="E60" s="216"/>
      <c r="F60" s="216"/>
      <c r="G60" s="216"/>
      <c r="H60" s="216"/>
      <c r="I60" s="216"/>
      <c r="J60" s="216"/>
      <c r="K60" s="216"/>
      <c r="L60" s="216"/>
      <c r="M60" s="216"/>
      <c r="N60" s="216"/>
      <c r="O60" s="216"/>
      <c r="P60" s="216"/>
      <c r="Q60" s="216"/>
      <c r="R60" s="216"/>
      <c r="S60" s="216"/>
      <c r="T60" s="216"/>
      <c r="U60" s="216"/>
      <c r="V60" s="216"/>
      <c r="W60" s="216"/>
      <c r="X60" s="216"/>
      <c r="Y60" s="216"/>
      <c r="Z60" s="216"/>
      <c r="AA60" s="216"/>
      <c r="AB60" s="216"/>
      <c r="AC60" s="216"/>
      <c r="AD60" s="216"/>
      <c r="AE60" s="216"/>
      <c r="AF60" s="216"/>
      <c r="AG60" s="216"/>
      <c r="AH60" s="216"/>
      <c r="AI60" s="216"/>
      <c r="AJ60" s="216"/>
      <c r="AK60" s="216"/>
      <c r="AL60" s="216"/>
      <c r="AM60" s="216"/>
      <c r="AN60" s="216"/>
      <c r="AO60" s="216"/>
      <c r="AP60" s="219">
        <f t="shared" ref="AP60:AU60" si="92">SUM(AP62,AP78)</f>
        <v>81979.5</v>
      </c>
      <c r="AQ60" s="220">
        <f t="shared" si="92"/>
        <v>84399.5</v>
      </c>
      <c r="AR60" s="220">
        <f t="shared" si="92"/>
        <v>86922.299999999988</v>
      </c>
      <c r="AS60" s="220">
        <f t="shared" si="92"/>
        <v>90106.999999999985</v>
      </c>
      <c r="AT60" s="220">
        <f t="shared" si="92"/>
        <v>87274.6</v>
      </c>
      <c r="AU60" s="313">
        <f t="shared" si="92"/>
        <v>90028.2</v>
      </c>
      <c r="AV60" s="220">
        <f t="shared" ref="AV60:AY60" si="93">SUM(AV62,AV78)</f>
        <v>94475.3</v>
      </c>
      <c r="AW60" s="220">
        <f t="shared" si="93"/>
        <v>98986</v>
      </c>
      <c r="AX60" s="373">
        <f t="shared" si="93"/>
        <v>102907.40000000001</v>
      </c>
      <c r="AY60" s="374">
        <f t="shared" si="93"/>
        <v>107181.3</v>
      </c>
      <c r="AZ60" s="220">
        <f t="shared" ref="AZ60:BA60" si="94">SUM(AZ62,AZ78)</f>
        <v>110316.40000000001</v>
      </c>
      <c r="BA60" s="220">
        <f t="shared" si="94"/>
        <v>115551</v>
      </c>
      <c r="BB60" s="220">
        <f t="shared" ref="BB60:BC60" si="95">SUM(BB62,BB78)</f>
        <v>118127.79999999999</v>
      </c>
      <c r="BC60" s="313">
        <f t="shared" si="95"/>
        <v>123459.7</v>
      </c>
      <c r="BD60" s="220">
        <f t="shared" ref="BD60:BE60" si="96">SUM(BD62,BD78)</f>
        <v>120598.09999999998</v>
      </c>
      <c r="BE60" s="220">
        <f t="shared" si="96"/>
        <v>122382</v>
      </c>
      <c r="BF60" s="220">
        <f t="shared" ref="BF60" si="97">SUM(BF62,BF78)</f>
        <v>124655.29999999999</v>
      </c>
    </row>
    <row r="61" spans="1:58" s="245" customFormat="1" ht="6" customHeight="1">
      <c r="A61" s="249"/>
      <c r="B61" s="250"/>
      <c r="C61" s="251"/>
      <c r="D61" s="249"/>
      <c r="E61" s="249"/>
      <c r="F61" s="249"/>
      <c r="G61" s="249"/>
      <c r="H61" s="249"/>
      <c r="I61" s="249"/>
      <c r="J61" s="249"/>
      <c r="K61" s="249"/>
      <c r="L61" s="249"/>
      <c r="M61" s="249"/>
      <c r="N61" s="249"/>
      <c r="O61" s="249"/>
      <c r="P61" s="249"/>
      <c r="Q61" s="249"/>
      <c r="R61" s="249"/>
      <c r="S61" s="249"/>
      <c r="T61" s="249"/>
      <c r="U61" s="249"/>
      <c r="V61" s="249"/>
      <c r="W61" s="249"/>
      <c r="X61" s="249"/>
      <c r="Y61" s="249"/>
      <c r="Z61" s="249"/>
      <c r="AA61" s="249"/>
      <c r="AB61" s="249"/>
      <c r="AC61" s="249"/>
      <c r="AD61" s="249"/>
      <c r="AE61" s="249"/>
      <c r="AF61" s="249"/>
      <c r="AG61" s="249"/>
      <c r="AH61" s="249"/>
      <c r="AI61" s="249"/>
      <c r="AJ61" s="249"/>
      <c r="AK61" s="249"/>
      <c r="AL61" s="249"/>
      <c r="AM61" s="249"/>
      <c r="AN61" s="249"/>
      <c r="AO61" s="249"/>
      <c r="AP61" s="252"/>
      <c r="AQ61" s="253"/>
      <c r="AR61" s="253"/>
      <c r="AS61" s="253"/>
      <c r="AT61" s="253"/>
      <c r="AU61" s="317"/>
      <c r="AV61" s="253"/>
      <c r="AW61" s="253"/>
      <c r="AX61" s="379"/>
      <c r="AY61" s="380"/>
      <c r="AZ61" s="253"/>
      <c r="BA61" s="253"/>
      <c r="BB61" s="253"/>
      <c r="BC61" s="317"/>
      <c r="BD61" s="253"/>
      <c r="BE61" s="253"/>
      <c r="BF61" s="253"/>
    </row>
    <row r="62" spans="1:58" s="245" customFormat="1" ht="11.25">
      <c r="A62" s="221" t="s">
        <v>734</v>
      </c>
      <c r="B62" s="222" t="s">
        <v>735</v>
      </c>
      <c r="C62" s="223"/>
      <c r="D62" s="221"/>
      <c r="E62" s="221"/>
      <c r="F62" s="221"/>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1"/>
      <c r="AE62" s="221"/>
      <c r="AF62" s="221"/>
      <c r="AG62" s="221"/>
      <c r="AH62" s="221"/>
      <c r="AI62" s="221"/>
      <c r="AJ62" s="221"/>
      <c r="AK62" s="221"/>
      <c r="AL62" s="221"/>
      <c r="AM62" s="221"/>
      <c r="AN62" s="221"/>
      <c r="AO62" s="221"/>
      <c r="AP62" s="224">
        <f>SUM(AP63:AP65)</f>
        <v>77633.600000000006</v>
      </c>
      <c r="AQ62" s="225">
        <f t="shared" ref="AQ62:AU62" si="98">SUM(AQ63:AQ65)</f>
        <v>80270.399999999994</v>
      </c>
      <c r="AR62" s="225">
        <f t="shared" si="98"/>
        <v>82741.999999999985</v>
      </c>
      <c r="AS62" s="225">
        <f t="shared" si="98"/>
        <v>85764.299999999988</v>
      </c>
      <c r="AT62" s="225">
        <f t="shared" si="98"/>
        <v>86556.3</v>
      </c>
      <c r="AU62" s="314">
        <f t="shared" si="98"/>
        <v>89281</v>
      </c>
      <c r="AV62" s="225">
        <f t="shared" ref="AV62:AY62" si="99">SUM(AV63:AV65)</f>
        <v>93666.3</v>
      </c>
      <c r="AW62" s="225">
        <f t="shared" si="99"/>
        <v>98194.9</v>
      </c>
      <c r="AX62" s="375">
        <f t="shared" si="99"/>
        <v>101956.8</v>
      </c>
      <c r="AY62" s="376">
        <f t="shared" si="99"/>
        <v>105954.3</v>
      </c>
      <c r="AZ62" s="225">
        <f t="shared" ref="AZ62:BA62" si="100">SUM(AZ63:AZ65)</f>
        <v>108857.20000000001</v>
      </c>
      <c r="BA62" s="225">
        <f t="shared" si="100"/>
        <v>113670.6</v>
      </c>
      <c r="BB62" s="225">
        <f t="shared" ref="BB62:BC62" si="101">SUM(BB63:BB65)</f>
        <v>115830.99999999999</v>
      </c>
      <c r="BC62" s="314">
        <f t="shared" si="101"/>
        <v>121103</v>
      </c>
      <c r="BD62" s="225">
        <f t="shared" ref="BD62:BE62" si="102">SUM(BD63:BD65)</f>
        <v>118415.19999999998</v>
      </c>
      <c r="BE62" s="225">
        <f t="shared" si="102"/>
        <v>120559.5</v>
      </c>
      <c r="BF62" s="225">
        <f t="shared" ref="BF62" si="103">SUM(BF63:BF65)</f>
        <v>122722.09999999999</v>
      </c>
    </row>
    <row r="63" spans="1:58" s="244" customFormat="1" ht="11.25">
      <c r="A63" s="226" t="s">
        <v>593</v>
      </c>
      <c r="B63" s="227" t="s">
        <v>594</v>
      </c>
      <c r="C63" s="228"/>
      <c r="D63" s="226"/>
      <c r="E63" s="226"/>
      <c r="F63" s="226"/>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6"/>
      <c r="AE63" s="226"/>
      <c r="AF63" s="226"/>
      <c r="AG63" s="226"/>
      <c r="AH63" s="226"/>
      <c r="AI63" s="226"/>
      <c r="AJ63" s="226"/>
      <c r="AK63" s="226"/>
      <c r="AL63" s="226"/>
      <c r="AM63" s="226"/>
      <c r="AN63" s="226"/>
      <c r="AO63" s="226"/>
      <c r="AP63" s="229">
        <f t="shared" ref="AP63:AU65" si="104">SUM(AP15,AP39)</f>
        <v>32865.4</v>
      </c>
      <c r="AQ63" s="230">
        <f t="shared" si="104"/>
        <v>34051.899999999994</v>
      </c>
      <c r="AR63" s="230">
        <f t="shared" si="104"/>
        <v>35576.699999999997</v>
      </c>
      <c r="AS63" s="230">
        <f t="shared" si="104"/>
        <v>37381.9</v>
      </c>
      <c r="AT63" s="230">
        <f t="shared" si="104"/>
        <v>38840.400000000001</v>
      </c>
      <c r="AU63" s="315">
        <f t="shared" si="104"/>
        <v>41473</v>
      </c>
      <c r="AV63" s="230">
        <f t="shared" ref="AV63:AY63" si="105">SUM(AV15,AV39)</f>
        <v>43707.399999999994</v>
      </c>
      <c r="AW63" s="230">
        <f t="shared" si="105"/>
        <v>45764</v>
      </c>
      <c r="AX63" s="381">
        <f t="shared" si="105"/>
        <v>47525.700000000004</v>
      </c>
      <c r="AY63" s="382">
        <f t="shared" si="105"/>
        <v>49493</v>
      </c>
      <c r="AZ63" s="230">
        <f t="shared" ref="AZ63:BA63" si="106">SUM(AZ15,AZ39)</f>
        <v>52210.100000000006</v>
      </c>
      <c r="BA63" s="230">
        <f t="shared" si="106"/>
        <v>54893.200000000004</v>
      </c>
      <c r="BB63" s="230">
        <f t="shared" ref="BB63:BC63" si="107">SUM(BB15,BB39)</f>
        <v>57284.899999999994</v>
      </c>
      <c r="BC63" s="315">
        <f t="shared" si="107"/>
        <v>59903.799999999996</v>
      </c>
      <c r="BD63" s="230">
        <f t="shared" ref="BD63:BE63" si="108">SUM(BD15,BD39)</f>
        <v>61037.599999999999</v>
      </c>
      <c r="BE63" s="230">
        <f t="shared" si="108"/>
        <v>62456.599999999991</v>
      </c>
      <c r="BF63" s="230">
        <f t="shared" ref="BF63" si="109">SUM(BF15,BF39)</f>
        <v>63345</v>
      </c>
    </row>
    <row r="64" spans="1:58" s="244" customFormat="1" ht="11.25">
      <c r="A64" s="226" t="s">
        <v>595</v>
      </c>
      <c r="B64" s="227" t="s">
        <v>596</v>
      </c>
      <c r="C64" s="228"/>
      <c r="D64" s="226"/>
      <c r="E64" s="226"/>
      <c r="F64" s="226"/>
      <c r="G64" s="226"/>
      <c r="H64" s="226"/>
      <c r="I64" s="226"/>
      <c r="J64" s="226"/>
      <c r="K64" s="226"/>
      <c r="L64" s="226"/>
      <c r="M64" s="226"/>
      <c r="N64" s="226"/>
      <c r="O64" s="226"/>
      <c r="P64" s="226"/>
      <c r="Q64" s="226"/>
      <c r="R64" s="226"/>
      <c r="S64" s="226"/>
      <c r="T64" s="226"/>
      <c r="U64" s="226"/>
      <c r="V64" s="226"/>
      <c r="W64" s="226"/>
      <c r="X64" s="226"/>
      <c r="Y64" s="226"/>
      <c r="Z64" s="226"/>
      <c r="AA64" s="226"/>
      <c r="AB64" s="226"/>
      <c r="AC64" s="226"/>
      <c r="AD64" s="226"/>
      <c r="AE64" s="226"/>
      <c r="AF64" s="226"/>
      <c r="AG64" s="226"/>
      <c r="AH64" s="226"/>
      <c r="AI64" s="226"/>
      <c r="AJ64" s="226"/>
      <c r="AK64" s="226"/>
      <c r="AL64" s="226"/>
      <c r="AM64" s="226"/>
      <c r="AN64" s="226"/>
      <c r="AO64" s="226"/>
      <c r="AP64" s="229">
        <f t="shared" si="104"/>
        <v>41352.200000000004</v>
      </c>
      <c r="AQ64" s="230">
        <f t="shared" si="104"/>
        <v>42839.1</v>
      </c>
      <c r="AR64" s="230">
        <f t="shared" si="104"/>
        <v>43932.1</v>
      </c>
      <c r="AS64" s="230">
        <f t="shared" si="104"/>
        <v>45317</v>
      </c>
      <c r="AT64" s="230">
        <f t="shared" si="104"/>
        <v>44868.6</v>
      </c>
      <c r="AU64" s="315">
        <f t="shared" si="104"/>
        <v>45159.199999999997</v>
      </c>
      <c r="AV64" s="230">
        <f t="shared" ref="AV64:AY64" si="110">SUM(AV16,AV40)</f>
        <v>47402.1</v>
      </c>
      <c r="AW64" s="230">
        <f t="shared" si="110"/>
        <v>49770.499999999993</v>
      </c>
      <c r="AX64" s="381">
        <f t="shared" si="110"/>
        <v>51223.899999999994</v>
      </c>
      <c r="AY64" s="382">
        <f t="shared" si="110"/>
        <v>53328.3</v>
      </c>
      <c r="AZ64" s="230">
        <f t="shared" ref="AZ64:BA64" si="111">SUM(AZ16,AZ40)</f>
        <v>53402.3</v>
      </c>
      <c r="BA64" s="230">
        <f t="shared" si="111"/>
        <v>55586.5</v>
      </c>
      <c r="BB64" s="230">
        <f t="shared" ref="BB64:BC64" si="112">SUM(BB16,BB40)</f>
        <v>55527.199999999997</v>
      </c>
      <c r="BC64" s="315">
        <f t="shared" si="112"/>
        <v>58224.100000000006</v>
      </c>
      <c r="BD64" s="230">
        <f t="shared" ref="BD64:BE64" si="113">SUM(BD16,BD40)</f>
        <v>54431.199999999997</v>
      </c>
      <c r="BE64" s="230">
        <f t="shared" si="113"/>
        <v>55007.799999999996</v>
      </c>
      <c r="BF64" s="230">
        <f t="shared" ref="BF64" si="114">SUM(BF16,BF40)</f>
        <v>56059.7</v>
      </c>
    </row>
    <row r="65" spans="1:58" s="244" customFormat="1" ht="11.25">
      <c r="A65" s="226" t="s">
        <v>597</v>
      </c>
      <c r="B65" s="227" t="s">
        <v>598</v>
      </c>
      <c r="C65" s="228"/>
      <c r="D65" s="226"/>
      <c r="E65" s="226"/>
      <c r="F65" s="226"/>
      <c r="G65" s="226"/>
      <c r="H65" s="226"/>
      <c r="I65" s="226"/>
      <c r="J65" s="226"/>
      <c r="K65" s="226"/>
      <c r="L65" s="226"/>
      <c r="M65" s="226"/>
      <c r="N65" s="226"/>
      <c r="O65" s="226"/>
      <c r="P65" s="226"/>
      <c r="Q65" s="226"/>
      <c r="R65" s="226"/>
      <c r="S65" s="226"/>
      <c r="T65" s="226"/>
      <c r="U65" s="226"/>
      <c r="V65" s="226"/>
      <c r="W65" s="226"/>
      <c r="X65" s="226"/>
      <c r="Y65" s="226"/>
      <c r="Z65" s="226"/>
      <c r="AA65" s="226"/>
      <c r="AB65" s="226"/>
      <c r="AC65" s="226"/>
      <c r="AD65" s="226"/>
      <c r="AE65" s="226"/>
      <c r="AF65" s="226"/>
      <c r="AG65" s="226"/>
      <c r="AH65" s="226"/>
      <c r="AI65" s="226"/>
      <c r="AJ65" s="226"/>
      <c r="AK65" s="226"/>
      <c r="AL65" s="226"/>
      <c r="AM65" s="226"/>
      <c r="AN65" s="226"/>
      <c r="AO65" s="226"/>
      <c r="AP65" s="229">
        <f t="shared" si="104"/>
        <v>3416</v>
      </c>
      <c r="AQ65" s="230">
        <f t="shared" si="104"/>
        <v>3379.4</v>
      </c>
      <c r="AR65" s="230">
        <f t="shared" si="104"/>
        <v>3233.2</v>
      </c>
      <c r="AS65" s="230">
        <f t="shared" si="104"/>
        <v>3065.3999999999996</v>
      </c>
      <c r="AT65" s="230">
        <f t="shared" si="104"/>
        <v>2847.3</v>
      </c>
      <c r="AU65" s="315">
        <f t="shared" si="104"/>
        <v>2648.8</v>
      </c>
      <c r="AV65" s="230">
        <f t="shared" ref="AV65:AY65" si="115">SUM(AV17,AV41)</f>
        <v>2556.8000000000002</v>
      </c>
      <c r="AW65" s="230">
        <f t="shared" si="115"/>
        <v>2660.4</v>
      </c>
      <c r="AX65" s="381">
        <f t="shared" si="115"/>
        <v>3207.2000000000003</v>
      </c>
      <c r="AY65" s="382">
        <f t="shared" si="115"/>
        <v>3133</v>
      </c>
      <c r="AZ65" s="230">
        <f t="shared" ref="AZ65:BA65" si="116">SUM(AZ17,AZ41)</f>
        <v>3244.8</v>
      </c>
      <c r="BA65" s="230">
        <f t="shared" si="116"/>
        <v>3190.9</v>
      </c>
      <c r="BB65" s="230">
        <f t="shared" ref="BB65:BC65" si="117">SUM(BB17,BB41)</f>
        <v>3018.8999999999996</v>
      </c>
      <c r="BC65" s="315">
        <f t="shared" si="117"/>
        <v>2975.1000000000004</v>
      </c>
      <c r="BD65" s="230">
        <f t="shared" ref="BD65:BE65" si="118">SUM(BD17,BD41)</f>
        <v>2946.4</v>
      </c>
      <c r="BE65" s="230">
        <f t="shared" si="118"/>
        <v>3095.1</v>
      </c>
      <c r="BF65" s="230">
        <f t="shared" ref="BF65" si="119">SUM(BF17,BF41)</f>
        <v>3317.4</v>
      </c>
    </row>
    <row r="66" spans="1:58" s="244" customFormat="1" ht="11.25">
      <c r="A66" s="231" t="s">
        <v>599</v>
      </c>
      <c r="B66" s="232" t="s">
        <v>600</v>
      </c>
      <c r="C66" s="233"/>
      <c r="D66" s="231"/>
      <c r="E66" s="231"/>
      <c r="F66" s="231"/>
      <c r="G66" s="231"/>
      <c r="H66" s="231"/>
      <c r="I66" s="231"/>
      <c r="J66" s="231"/>
      <c r="K66" s="231"/>
      <c r="L66" s="231"/>
      <c r="M66" s="231"/>
      <c r="N66" s="231"/>
      <c r="O66" s="231"/>
      <c r="P66" s="231"/>
      <c r="Q66" s="231"/>
      <c r="R66" s="231"/>
      <c r="S66" s="231"/>
      <c r="T66" s="231"/>
      <c r="U66" s="231"/>
      <c r="V66" s="231"/>
      <c r="W66" s="231"/>
      <c r="X66" s="231"/>
      <c r="Y66" s="231"/>
      <c r="Z66" s="231"/>
      <c r="AA66" s="231"/>
      <c r="AB66" s="231"/>
      <c r="AC66" s="231"/>
      <c r="AD66" s="231"/>
      <c r="AE66" s="231"/>
      <c r="AF66" s="231"/>
      <c r="AG66" s="231"/>
      <c r="AH66" s="231"/>
      <c r="AI66" s="231"/>
      <c r="AJ66" s="231"/>
      <c r="AK66" s="231"/>
      <c r="AL66" s="231"/>
      <c r="AM66" s="231"/>
      <c r="AN66" s="231"/>
      <c r="AO66" s="231"/>
      <c r="AP66" s="234">
        <f>SUM(AP67,AP73)</f>
        <v>77633.600000000006</v>
      </c>
      <c r="AQ66" s="235">
        <f t="shared" ref="AQ66:AU66" si="120">SUM(AQ67,AQ73)</f>
        <v>80270.399999999994</v>
      </c>
      <c r="AR66" s="235">
        <f t="shared" si="120"/>
        <v>82742</v>
      </c>
      <c r="AS66" s="235">
        <f t="shared" si="120"/>
        <v>85764.3</v>
      </c>
      <c r="AT66" s="235">
        <f t="shared" si="120"/>
        <v>86556.299999999988</v>
      </c>
      <c r="AU66" s="316">
        <f t="shared" si="120"/>
        <v>89281</v>
      </c>
      <c r="AV66" s="235">
        <f t="shared" ref="AV66:AY66" si="121">SUM(AV67,AV73)</f>
        <v>93666.299999999988</v>
      </c>
      <c r="AW66" s="235">
        <f t="shared" si="121"/>
        <v>98194.9</v>
      </c>
      <c r="AX66" s="377">
        <f t="shared" si="121"/>
        <v>101956.8</v>
      </c>
      <c r="AY66" s="378">
        <f t="shared" si="121"/>
        <v>105954.29999999999</v>
      </c>
      <c r="AZ66" s="235">
        <f t="shared" ref="AZ66:BA66" si="122">SUM(AZ67,AZ73)</f>
        <v>108857.2</v>
      </c>
      <c r="BA66" s="235">
        <f t="shared" si="122"/>
        <v>113670.6</v>
      </c>
      <c r="BB66" s="235">
        <f t="shared" ref="BB66:BC66" si="123">SUM(BB67,BB73)</f>
        <v>115831</v>
      </c>
      <c r="BC66" s="316">
        <f t="shared" si="123"/>
        <v>121102.99999999997</v>
      </c>
      <c r="BD66" s="235">
        <f t="shared" ref="BD66:BE66" si="124">SUM(BD67,BD73)</f>
        <v>118415.20000000001</v>
      </c>
      <c r="BE66" s="235">
        <f t="shared" si="124"/>
        <v>120559.5</v>
      </c>
      <c r="BF66" s="235">
        <f t="shared" ref="BF66" si="125">SUM(BF67,BF73)</f>
        <v>122722.10000000002</v>
      </c>
    </row>
    <row r="67" spans="1:58" s="244" customFormat="1" ht="11.25">
      <c r="A67" s="236" t="s">
        <v>601</v>
      </c>
      <c r="B67" s="237" t="s">
        <v>602</v>
      </c>
      <c r="C67" s="238"/>
      <c r="D67" s="236"/>
      <c r="E67" s="236"/>
      <c r="F67" s="236"/>
      <c r="G67" s="236"/>
      <c r="H67" s="236"/>
      <c r="I67" s="236"/>
      <c r="J67" s="236"/>
      <c r="K67" s="236"/>
      <c r="L67" s="236"/>
      <c r="M67" s="236"/>
      <c r="N67" s="236"/>
      <c r="O67" s="236"/>
      <c r="P67" s="236"/>
      <c r="Q67" s="236"/>
      <c r="R67" s="236"/>
      <c r="S67" s="236"/>
      <c r="T67" s="236"/>
      <c r="U67" s="236"/>
      <c r="V67" s="236"/>
      <c r="W67" s="236"/>
      <c r="X67" s="236"/>
      <c r="Y67" s="236"/>
      <c r="Z67" s="236"/>
      <c r="AA67" s="236"/>
      <c r="AB67" s="236"/>
      <c r="AC67" s="236"/>
      <c r="AD67" s="236"/>
      <c r="AE67" s="236"/>
      <c r="AF67" s="236"/>
      <c r="AG67" s="236"/>
      <c r="AH67" s="236"/>
      <c r="AI67" s="236"/>
      <c r="AJ67" s="236"/>
      <c r="AK67" s="236"/>
      <c r="AL67" s="236"/>
      <c r="AM67" s="236"/>
      <c r="AN67" s="236"/>
      <c r="AO67" s="236"/>
      <c r="AP67" s="234">
        <f>SUM(AP68:AP72)</f>
        <v>46520.1</v>
      </c>
      <c r="AQ67" s="235">
        <f t="shared" ref="AQ67:AU67" si="126">SUM(AQ68:AQ72)</f>
        <v>48047.199999999997</v>
      </c>
      <c r="AR67" s="235">
        <f t="shared" si="126"/>
        <v>49022.299999999996</v>
      </c>
      <c r="AS67" s="235">
        <f t="shared" si="126"/>
        <v>50571.100000000006</v>
      </c>
      <c r="AT67" s="235">
        <f t="shared" si="126"/>
        <v>49675.1</v>
      </c>
      <c r="AU67" s="316">
        <f t="shared" si="126"/>
        <v>50784.999999999993</v>
      </c>
      <c r="AV67" s="235">
        <f t="shared" ref="AV67:AY67" si="127">SUM(AV68:AV72)</f>
        <v>52967.599999999991</v>
      </c>
      <c r="AW67" s="235">
        <f t="shared" si="127"/>
        <v>55583.199999999997</v>
      </c>
      <c r="AX67" s="377">
        <f t="shared" si="127"/>
        <v>57602.000000000007</v>
      </c>
      <c r="AY67" s="378">
        <f t="shared" si="127"/>
        <v>65338.200000000004</v>
      </c>
      <c r="AZ67" s="235">
        <f t="shared" ref="AZ67:BA67" si="128">SUM(AZ68:AZ72)</f>
        <v>65965</v>
      </c>
      <c r="BA67" s="235">
        <f t="shared" si="128"/>
        <v>68350.899999999994</v>
      </c>
      <c r="BB67" s="235">
        <f t="shared" ref="BB67:BC67" si="129">SUM(BB68:BB72)</f>
        <v>68230.7</v>
      </c>
      <c r="BC67" s="316">
        <f t="shared" si="129"/>
        <v>71036.999999999971</v>
      </c>
      <c r="BD67" s="235">
        <f t="shared" ref="BD67:BE67" si="130">SUM(BD68:BD72)</f>
        <v>66743.900000000009</v>
      </c>
      <c r="BE67" s="235">
        <f t="shared" si="130"/>
        <v>67799.5</v>
      </c>
      <c r="BF67" s="235">
        <f t="shared" ref="BF67" si="131">SUM(BF68:BF72)</f>
        <v>67976.700000000012</v>
      </c>
    </row>
    <row r="68" spans="1:58" s="244" customFormat="1" ht="11.25">
      <c r="A68" s="239" t="s">
        <v>603</v>
      </c>
      <c r="B68" s="240" t="s">
        <v>604</v>
      </c>
      <c r="C68" s="241"/>
      <c r="D68" s="239"/>
      <c r="E68" s="239"/>
      <c r="F68" s="239"/>
      <c r="G68" s="239"/>
      <c r="H68" s="239"/>
      <c r="I68" s="239"/>
      <c r="J68" s="239"/>
      <c r="K68" s="239"/>
      <c r="L68" s="239"/>
      <c r="M68" s="239"/>
      <c r="N68" s="239"/>
      <c r="O68" s="239"/>
      <c r="P68" s="239"/>
      <c r="Q68" s="239"/>
      <c r="R68" s="239"/>
      <c r="S68" s="239"/>
      <c r="T68" s="239"/>
      <c r="U68" s="239"/>
      <c r="V68" s="239"/>
      <c r="W68" s="239"/>
      <c r="X68" s="239"/>
      <c r="Y68" s="239"/>
      <c r="Z68" s="239"/>
      <c r="AA68" s="239"/>
      <c r="AB68" s="239"/>
      <c r="AC68" s="239"/>
      <c r="AD68" s="239"/>
      <c r="AE68" s="239"/>
      <c r="AF68" s="239"/>
      <c r="AG68" s="239"/>
      <c r="AH68" s="239"/>
      <c r="AI68" s="239"/>
      <c r="AJ68" s="239"/>
      <c r="AK68" s="239"/>
      <c r="AL68" s="239"/>
      <c r="AM68" s="239"/>
      <c r="AN68" s="239"/>
      <c r="AO68" s="239"/>
      <c r="AP68" s="229">
        <f t="shared" ref="AP68:AU72" si="132">SUM(AP20,AP44)</f>
        <v>7278.9000000000005</v>
      </c>
      <c r="AQ68" s="230">
        <f t="shared" si="132"/>
        <v>9141.1</v>
      </c>
      <c r="AR68" s="230">
        <f t="shared" si="132"/>
        <v>9251.1</v>
      </c>
      <c r="AS68" s="230">
        <f t="shared" si="132"/>
        <v>9616.6</v>
      </c>
      <c r="AT68" s="230">
        <f t="shared" si="132"/>
        <v>8920.1</v>
      </c>
      <c r="AU68" s="315">
        <f t="shared" si="132"/>
        <v>10232.100000000002</v>
      </c>
      <c r="AV68" s="230">
        <f t="shared" ref="AV68:AY68" si="133">SUM(AV20,AV44)</f>
        <v>9986.9999999999982</v>
      </c>
      <c r="AW68" s="230">
        <f t="shared" si="133"/>
        <v>10799.6</v>
      </c>
      <c r="AX68" s="381">
        <f t="shared" si="133"/>
        <v>10322.799999999999</v>
      </c>
      <c r="AY68" s="382">
        <f t="shared" si="133"/>
        <v>11813.9</v>
      </c>
      <c r="AZ68" s="230">
        <f t="shared" ref="AZ68:BA68" si="134">SUM(AZ20,AZ44)</f>
        <v>11974.499999999998</v>
      </c>
      <c r="BA68" s="230">
        <f t="shared" si="134"/>
        <v>8718.5</v>
      </c>
      <c r="BB68" s="230">
        <f t="shared" ref="BB68:BC68" si="135">SUM(BB20,BB44)</f>
        <v>10999.5</v>
      </c>
      <c r="BC68" s="315">
        <f t="shared" si="135"/>
        <v>11321.6</v>
      </c>
      <c r="BD68" s="230">
        <f t="shared" ref="BD68:BE68" si="136">SUM(BD20,BD44)</f>
        <v>9530.3000000000011</v>
      </c>
      <c r="BE68" s="230">
        <f t="shared" si="136"/>
        <v>9361.6</v>
      </c>
      <c r="BF68" s="230">
        <f t="shared" ref="BF68" si="137">SUM(BF20,BF44)</f>
        <v>8982.1000000000022</v>
      </c>
    </row>
    <row r="69" spans="1:58" s="244" customFormat="1" ht="11.25">
      <c r="A69" s="239" t="s">
        <v>605</v>
      </c>
      <c r="B69" s="240" t="s">
        <v>606</v>
      </c>
      <c r="C69" s="241"/>
      <c r="D69" s="239"/>
      <c r="E69" s="239"/>
      <c r="F69" s="239"/>
      <c r="G69" s="239"/>
      <c r="H69" s="239"/>
      <c r="I69" s="239"/>
      <c r="J69" s="239"/>
      <c r="K69" s="239"/>
      <c r="L69" s="239"/>
      <c r="M69" s="239"/>
      <c r="N69" s="239"/>
      <c r="O69" s="239"/>
      <c r="P69" s="239"/>
      <c r="Q69" s="239"/>
      <c r="R69" s="239"/>
      <c r="S69" s="239"/>
      <c r="T69" s="239"/>
      <c r="U69" s="239"/>
      <c r="V69" s="239"/>
      <c r="W69" s="239"/>
      <c r="X69" s="239"/>
      <c r="Y69" s="239"/>
      <c r="Z69" s="239"/>
      <c r="AA69" s="239"/>
      <c r="AB69" s="239"/>
      <c r="AC69" s="239"/>
      <c r="AD69" s="239"/>
      <c r="AE69" s="239"/>
      <c r="AF69" s="239"/>
      <c r="AG69" s="239"/>
      <c r="AH69" s="239"/>
      <c r="AI69" s="239"/>
      <c r="AJ69" s="239"/>
      <c r="AK69" s="239"/>
      <c r="AL69" s="239"/>
      <c r="AM69" s="239"/>
      <c r="AN69" s="239"/>
      <c r="AO69" s="239"/>
      <c r="AP69" s="229">
        <f t="shared" si="132"/>
        <v>27168.799999999999</v>
      </c>
      <c r="AQ69" s="230">
        <f t="shared" si="132"/>
        <v>26709.899999999998</v>
      </c>
      <c r="AR69" s="230">
        <f t="shared" si="132"/>
        <v>27337</v>
      </c>
      <c r="AS69" s="230">
        <f t="shared" si="132"/>
        <v>28301.000000000004</v>
      </c>
      <c r="AT69" s="230">
        <f t="shared" si="132"/>
        <v>27762.5</v>
      </c>
      <c r="AU69" s="315">
        <f t="shared" si="132"/>
        <v>27609.299999999996</v>
      </c>
      <c r="AV69" s="230">
        <f t="shared" ref="AV69:AY69" si="138">SUM(AV21,AV45)</f>
        <v>29701.399999999998</v>
      </c>
      <c r="AW69" s="230">
        <f t="shared" si="138"/>
        <v>31037.599999999999</v>
      </c>
      <c r="AX69" s="381">
        <f t="shared" si="138"/>
        <v>32517.300000000003</v>
      </c>
      <c r="AY69" s="382">
        <f t="shared" si="138"/>
        <v>37383.700000000004</v>
      </c>
      <c r="AZ69" s="230">
        <f t="shared" ref="AZ69:BA69" si="139">SUM(AZ21,AZ45)</f>
        <v>37436.300000000003</v>
      </c>
      <c r="BA69" s="230">
        <f t="shared" si="139"/>
        <v>42300.299999999996</v>
      </c>
      <c r="BB69" s="230">
        <f t="shared" ref="BB69:BC69" si="140">SUM(BB21,BB45)</f>
        <v>40099.199999999997</v>
      </c>
      <c r="BC69" s="315">
        <f t="shared" si="140"/>
        <v>42387.499999999985</v>
      </c>
      <c r="BD69" s="230">
        <f t="shared" ref="BD69:BE69" si="141">SUM(BD21,BD45)</f>
        <v>41079.700000000004</v>
      </c>
      <c r="BE69" s="230">
        <f t="shared" si="141"/>
        <v>41324.6</v>
      </c>
      <c r="BF69" s="230">
        <f t="shared" ref="BF69" si="142">SUM(BF21,BF45)</f>
        <v>41510.800000000003</v>
      </c>
    </row>
    <row r="70" spans="1:58" s="244" customFormat="1" ht="11.25">
      <c r="A70" s="239" t="s">
        <v>607</v>
      </c>
      <c r="B70" s="240" t="s">
        <v>608</v>
      </c>
      <c r="C70" s="241"/>
      <c r="D70" s="239"/>
      <c r="E70" s="239"/>
      <c r="F70" s="239"/>
      <c r="G70" s="239"/>
      <c r="H70" s="239"/>
      <c r="I70" s="239"/>
      <c r="J70" s="239"/>
      <c r="K70" s="239"/>
      <c r="L70" s="239"/>
      <c r="M70" s="239"/>
      <c r="N70" s="239"/>
      <c r="O70" s="239"/>
      <c r="P70" s="239"/>
      <c r="Q70" s="239"/>
      <c r="R70" s="239"/>
      <c r="S70" s="239"/>
      <c r="T70" s="239"/>
      <c r="U70" s="239"/>
      <c r="V70" s="239"/>
      <c r="W70" s="239"/>
      <c r="X70" s="239"/>
      <c r="Y70" s="239"/>
      <c r="Z70" s="239"/>
      <c r="AA70" s="239"/>
      <c r="AB70" s="239"/>
      <c r="AC70" s="239"/>
      <c r="AD70" s="239"/>
      <c r="AE70" s="239"/>
      <c r="AF70" s="239"/>
      <c r="AG70" s="239"/>
      <c r="AH70" s="239"/>
      <c r="AI70" s="239"/>
      <c r="AJ70" s="239"/>
      <c r="AK70" s="239"/>
      <c r="AL70" s="239"/>
      <c r="AM70" s="239"/>
      <c r="AN70" s="239"/>
      <c r="AO70" s="239"/>
      <c r="AP70" s="229">
        <f t="shared" si="132"/>
        <v>5209.2000000000007</v>
      </c>
      <c r="AQ70" s="230">
        <f t="shared" si="132"/>
        <v>5238.7</v>
      </c>
      <c r="AR70" s="230">
        <f t="shared" si="132"/>
        <v>5522.9000000000005</v>
      </c>
      <c r="AS70" s="230">
        <f t="shared" si="132"/>
        <v>5698.1</v>
      </c>
      <c r="AT70" s="230">
        <f t="shared" si="132"/>
        <v>5871.4</v>
      </c>
      <c r="AU70" s="315">
        <f t="shared" si="132"/>
        <v>6074.3</v>
      </c>
      <c r="AV70" s="230">
        <f t="shared" ref="AV70:AY70" si="143">SUM(AV22,AV46)</f>
        <v>6438.4999999999991</v>
      </c>
      <c r="AW70" s="230">
        <f t="shared" si="143"/>
        <v>6739.0999999999995</v>
      </c>
      <c r="AX70" s="381">
        <f t="shared" si="143"/>
        <v>7118.1000000000013</v>
      </c>
      <c r="AY70" s="382">
        <f t="shared" si="143"/>
        <v>8618.1</v>
      </c>
      <c r="AZ70" s="230">
        <f t="shared" ref="AZ70:BA70" si="144">SUM(AZ22,AZ46)</f>
        <v>9077.9</v>
      </c>
      <c r="BA70" s="230">
        <f t="shared" si="144"/>
        <v>9423.1</v>
      </c>
      <c r="BB70" s="230">
        <f t="shared" ref="BB70:BC70" si="145">SUM(BB22,BB46)</f>
        <v>9334.6999999999989</v>
      </c>
      <c r="BC70" s="315">
        <f t="shared" si="145"/>
        <v>9526.5</v>
      </c>
      <c r="BD70" s="230">
        <f t="shared" ref="BD70:BE70" si="146">SUM(BD22,BD46)</f>
        <v>9364</v>
      </c>
      <c r="BE70" s="230">
        <f t="shared" si="146"/>
        <v>9504.6999999999989</v>
      </c>
      <c r="BF70" s="230">
        <f t="shared" ref="BF70" si="147">SUM(BF22,BF46)</f>
        <v>9697.6</v>
      </c>
    </row>
    <row r="71" spans="1:58" s="244" customFormat="1" ht="11.25">
      <c r="A71" s="239" t="s">
        <v>609</v>
      </c>
      <c r="B71" s="240" t="s">
        <v>610</v>
      </c>
      <c r="C71" s="241"/>
      <c r="D71" s="239"/>
      <c r="E71" s="239"/>
      <c r="F71" s="239"/>
      <c r="G71" s="239"/>
      <c r="H71" s="239"/>
      <c r="I71" s="239"/>
      <c r="J71" s="239"/>
      <c r="K71" s="239"/>
      <c r="L71" s="239"/>
      <c r="M71" s="239"/>
      <c r="N71" s="239"/>
      <c r="O71" s="239"/>
      <c r="P71" s="239"/>
      <c r="Q71" s="239"/>
      <c r="R71" s="239"/>
      <c r="S71" s="239"/>
      <c r="T71" s="239"/>
      <c r="U71" s="239"/>
      <c r="V71" s="239"/>
      <c r="W71" s="239"/>
      <c r="X71" s="239"/>
      <c r="Y71" s="239"/>
      <c r="Z71" s="239"/>
      <c r="AA71" s="239"/>
      <c r="AB71" s="239"/>
      <c r="AC71" s="239"/>
      <c r="AD71" s="239"/>
      <c r="AE71" s="239"/>
      <c r="AF71" s="239"/>
      <c r="AG71" s="239"/>
      <c r="AH71" s="239"/>
      <c r="AI71" s="239"/>
      <c r="AJ71" s="239"/>
      <c r="AK71" s="239"/>
      <c r="AL71" s="239"/>
      <c r="AM71" s="239"/>
      <c r="AN71" s="239"/>
      <c r="AO71" s="239"/>
      <c r="AP71" s="229">
        <f t="shared" si="132"/>
        <v>4350.4000000000005</v>
      </c>
      <c r="AQ71" s="230">
        <f t="shared" si="132"/>
        <v>4513.3999999999996</v>
      </c>
      <c r="AR71" s="230">
        <f t="shared" si="132"/>
        <v>4622.2</v>
      </c>
      <c r="AS71" s="230">
        <f t="shared" si="132"/>
        <v>4715.1000000000004</v>
      </c>
      <c r="AT71" s="230">
        <f t="shared" si="132"/>
        <v>4589</v>
      </c>
      <c r="AU71" s="315">
        <f t="shared" si="132"/>
        <v>4562.6000000000004</v>
      </c>
      <c r="AV71" s="230">
        <f t="shared" ref="AV71:AY71" si="148">SUM(AV23,AV47)</f>
        <v>4751.6000000000004</v>
      </c>
      <c r="AW71" s="230">
        <f t="shared" si="148"/>
        <v>4766.9999999999991</v>
      </c>
      <c r="AX71" s="381">
        <f t="shared" si="148"/>
        <v>4834.5</v>
      </c>
      <c r="AY71" s="382">
        <f t="shared" si="148"/>
        <v>5011.8999999999996</v>
      </c>
      <c r="AZ71" s="230">
        <f t="shared" ref="AZ71:BA71" si="149">SUM(AZ23,AZ47)</f>
        <v>5138.7999999999993</v>
      </c>
      <c r="BA71" s="230">
        <f t="shared" si="149"/>
        <v>5289.9</v>
      </c>
      <c r="BB71" s="230">
        <f t="shared" ref="BB71:BC71" si="150">SUM(BB23,BB47)</f>
        <v>5293.2999999999993</v>
      </c>
      <c r="BC71" s="315">
        <f t="shared" si="150"/>
        <v>5326.5</v>
      </c>
      <c r="BD71" s="230">
        <f t="shared" ref="BD71:BE71" si="151">SUM(BD23,BD47)</f>
        <v>4542.4000000000005</v>
      </c>
      <c r="BE71" s="230">
        <f t="shared" si="151"/>
        <v>4611.9000000000005</v>
      </c>
      <c r="BF71" s="230">
        <f t="shared" ref="BF71" si="152">SUM(BF23,BF47)</f>
        <v>4794.5</v>
      </c>
    </row>
    <row r="72" spans="1:58" s="244" customFormat="1" ht="11.25">
      <c r="A72" s="239" t="s">
        <v>611</v>
      </c>
      <c r="B72" s="240" t="s">
        <v>612</v>
      </c>
      <c r="C72" s="241"/>
      <c r="D72" s="239"/>
      <c r="E72" s="239"/>
      <c r="F72" s="239"/>
      <c r="G72" s="239"/>
      <c r="H72" s="239"/>
      <c r="I72" s="239"/>
      <c r="J72" s="239"/>
      <c r="K72" s="239"/>
      <c r="L72" s="239"/>
      <c r="M72" s="239"/>
      <c r="N72" s="239"/>
      <c r="O72" s="239"/>
      <c r="P72" s="239"/>
      <c r="Q72" s="239"/>
      <c r="R72" s="239"/>
      <c r="S72" s="239"/>
      <c r="T72" s="239"/>
      <c r="U72" s="239"/>
      <c r="V72" s="239"/>
      <c r="W72" s="239"/>
      <c r="X72" s="239"/>
      <c r="Y72" s="239"/>
      <c r="Z72" s="239"/>
      <c r="AA72" s="239"/>
      <c r="AB72" s="239"/>
      <c r="AC72" s="239"/>
      <c r="AD72" s="239"/>
      <c r="AE72" s="239"/>
      <c r="AF72" s="239"/>
      <c r="AG72" s="239"/>
      <c r="AH72" s="239"/>
      <c r="AI72" s="239"/>
      <c r="AJ72" s="239"/>
      <c r="AK72" s="239"/>
      <c r="AL72" s="239"/>
      <c r="AM72" s="239"/>
      <c r="AN72" s="239"/>
      <c r="AO72" s="239"/>
      <c r="AP72" s="229">
        <f t="shared" si="132"/>
        <v>2512.7999999999997</v>
      </c>
      <c r="AQ72" s="230">
        <f t="shared" si="132"/>
        <v>2444.1000000000004</v>
      </c>
      <c r="AR72" s="230">
        <f t="shared" si="132"/>
        <v>2289.1000000000004</v>
      </c>
      <c r="AS72" s="230">
        <f t="shared" si="132"/>
        <v>2240.3000000000002</v>
      </c>
      <c r="AT72" s="230">
        <f t="shared" si="132"/>
        <v>2532.1</v>
      </c>
      <c r="AU72" s="315">
        <f t="shared" si="132"/>
        <v>2306.7000000000003</v>
      </c>
      <c r="AV72" s="230">
        <f t="shared" ref="AV72:AY72" si="153">SUM(AV24,AV48)</f>
        <v>2089.1</v>
      </c>
      <c r="AW72" s="230">
        <f t="shared" si="153"/>
        <v>2239.8999999999996</v>
      </c>
      <c r="AX72" s="381">
        <f t="shared" si="153"/>
        <v>2809.3</v>
      </c>
      <c r="AY72" s="382">
        <f t="shared" si="153"/>
        <v>2510.6</v>
      </c>
      <c r="AZ72" s="230">
        <f t="shared" ref="AZ72:BA72" si="154">SUM(AZ24,AZ48)</f>
        <v>2337.5</v>
      </c>
      <c r="BA72" s="230">
        <f t="shared" si="154"/>
        <v>2619.1</v>
      </c>
      <c r="BB72" s="230">
        <f t="shared" ref="BB72:BC72" si="155">SUM(BB24,BB48)</f>
        <v>2504.0000000000005</v>
      </c>
      <c r="BC72" s="315">
        <f t="shared" si="155"/>
        <v>2474.9</v>
      </c>
      <c r="BD72" s="230">
        <f t="shared" ref="BD72:BE72" si="156">SUM(BD24,BD48)</f>
        <v>2227.4999999999995</v>
      </c>
      <c r="BE72" s="230">
        <f t="shared" si="156"/>
        <v>2996.7000000000003</v>
      </c>
      <c r="BF72" s="230">
        <f t="shared" ref="BF72" si="157">SUM(BF24,BF48)</f>
        <v>2991.7000000000003</v>
      </c>
    </row>
    <row r="73" spans="1:58" s="244" customFormat="1" ht="11.25">
      <c r="A73" s="236" t="s">
        <v>613</v>
      </c>
      <c r="B73" s="237" t="s">
        <v>614</v>
      </c>
      <c r="C73" s="238"/>
      <c r="D73" s="236"/>
      <c r="E73" s="236"/>
      <c r="F73" s="236"/>
      <c r="G73" s="236"/>
      <c r="H73" s="236"/>
      <c r="I73" s="236"/>
      <c r="J73" s="236"/>
      <c r="K73" s="236"/>
      <c r="L73" s="236"/>
      <c r="M73" s="236"/>
      <c r="N73" s="236"/>
      <c r="O73" s="236"/>
      <c r="P73" s="236"/>
      <c r="Q73" s="236"/>
      <c r="R73" s="236"/>
      <c r="S73" s="236"/>
      <c r="T73" s="236"/>
      <c r="U73" s="236"/>
      <c r="V73" s="236"/>
      <c r="W73" s="236"/>
      <c r="X73" s="236"/>
      <c r="Y73" s="236"/>
      <c r="Z73" s="236"/>
      <c r="AA73" s="236"/>
      <c r="AB73" s="236"/>
      <c r="AC73" s="236"/>
      <c r="AD73" s="236"/>
      <c r="AE73" s="236"/>
      <c r="AF73" s="236"/>
      <c r="AG73" s="236"/>
      <c r="AH73" s="236"/>
      <c r="AI73" s="236"/>
      <c r="AJ73" s="236"/>
      <c r="AK73" s="236"/>
      <c r="AL73" s="236"/>
      <c r="AM73" s="236"/>
      <c r="AN73" s="236"/>
      <c r="AO73" s="236"/>
      <c r="AP73" s="234">
        <f>SUM(AP74:AP77)</f>
        <v>31113.500000000004</v>
      </c>
      <c r="AQ73" s="235">
        <f t="shared" ref="AQ73:AU73" si="158">SUM(AQ74:AQ77)</f>
        <v>32223.200000000004</v>
      </c>
      <c r="AR73" s="235">
        <f t="shared" si="158"/>
        <v>33719.699999999997</v>
      </c>
      <c r="AS73" s="235">
        <f t="shared" si="158"/>
        <v>35193.199999999997</v>
      </c>
      <c r="AT73" s="235">
        <f t="shared" si="158"/>
        <v>36881.199999999997</v>
      </c>
      <c r="AU73" s="316">
        <f t="shared" si="158"/>
        <v>38496</v>
      </c>
      <c r="AV73" s="235">
        <f t="shared" ref="AV73:AY73" si="159">SUM(AV74:AV77)</f>
        <v>40698.700000000004</v>
      </c>
      <c r="AW73" s="235">
        <f t="shared" si="159"/>
        <v>42611.69999999999</v>
      </c>
      <c r="AX73" s="377">
        <f t="shared" si="159"/>
        <v>44354.799999999996</v>
      </c>
      <c r="AY73" s="378">
        <f t="shared" si="159"/>
        <v>40616.099999999991</v>
      </c>
      <c r="AZ73" s="235">
        <f t="shared" ref="AZ73:BA73" si="160">SUM(AZ74:AZ77)</f>
        <v>42892.2</v>
      </c>
      <c r="BA73" s="235">
        <f t="shared" si="160"/>
        <v>45319.700000000004</v>
      </c>
      <c r="BB73" s="235">
        <f t="shared" ref="BB73:BC73" si="161">SUM(BB74:BB77)</f>
        <v>47600.299999999996</v>
      </c>
      <c r="BC73" s="316">
        <f t="shared" si="161"/>
        <v>50066</v>
      </c>
      <c r="BD73" s="235">
        <f t="shared" ref="BD73:BE73" si="162">SUM(BD74:BD77)</f>
        <v>51671.3</v>
      </c>
      <c r="BE73" s="235">
        <f t="shared" si="162"/>
        <v>52760</v>
      </c>
      <c r="BF73" s="235">
        <f t="shared" ref="BF73" si="163">SUM(BF74:BF77)</f>
        <v>54745.400000000009</v>
      </c>
    </row>
    <row r="74" spans="1:58" s="244" customFormat="1" ht="11.25">
      <c r="A74" s="239" t="s">
        <v>615</v>
      </c>
      <c r="B74" s="240" t="s">
        <v>616</v>
      </c>
      <c r="C74" s="241"/>
      <c r="D74" s="239"/>
      <c r="E74" s="239"/>
      <c r="F74" s="239"/>
      <c r="G74" s="239"/>
      <c r="H74" s="239"/>
      <c r="I74" s="239"/>
      <c r="J74" s="239"/>
      <c r="K74" s="239"/>
      <c r="L74" s="239"/>
      <c r="M74" s="239"/>
      <c r="N74" s="239"/>
      <c r="O74" s="239"/>
      <c r="P74" s="239"/>
      <c r="Q74" s="239"/>
      <c r="R74" s="239"/>
      <c r="S74" s="239"/>
      <c r="T74" s="239"/>
      <c r="U74" s="239"/>
      <c r="V74" s="239"/>
      <c r="W74" s="239"/>
      <c r="X74" s="239"/>
      <c r="Y74" s="239"/>
      <c r="Z74" s="239"/>
      <c r="AA74" s="239"/>
      <c r="AB74" s="239"/>
      <c r="AC74" s="239"/>
      <c r="AD74" s="239"/>
      <c r="AE74" s="239"/>
      <c r="AF74" s="239"/>
      <c r="AG74" s="239"/>
      <c r="AH74" s="239"/>
      <c r="AI74" s="239"/>
      <c r="AJ74" s="239"/>
      <c r="AK74" s="239"/>
      <c r="AL74" s="239"/>
      <c r="AM74" s="239"/>
      <c r="AN74" s="239"/>
      <c r="AO74" s="239"/>
      <c r="AP74" s="229">
        <f t="shared" ref="AP74:AU77" si="164">SUM(AP26,AP50)</f>
        <v>23284</v>
      </c>
      <c r="AQ74" s="230">
        <f t="shared" si="164"/>
        <v>23982.500000000004</v>
      </c>
      <c r="AR74" s="230">
        <f t="shared" si="164"/>
        <v>24998.399999999998</v>
      </c>
      <c r="AS74" s="230">
        <f t="shared" si="164"/>
        <v>26058.300000000003</v>
      </c>
      <c r="AT74" s="230">
        <f t="shared" si="164"/>
        <v>27369.399999999998</v>
      </c>
      <c r="AU74" s="315">
        <f t="shared" si="164"/>
        <v>28661.1</v>
      </c>
      <c r="AV74" s="230">
        <f t="shared" ref="AV74:AY74" si="165">SUM(AV26,AV50)</f>
        <v>30295.4</v>
      </c>
      <c r="AW74" s="230">
        <f t="shared" si="165"/>
        <v>31756.499999999996</v>
      </c>
      <c r="AX74" s="381">
        <f t="shared" si="165"/>
        <v>33146.799999999996</v>
      </c>
      <c r="AY74" s="382">
        <f t="shared" si="165"/>
        <v>34361.699999999997</v>
      </c>
      <c r="AZ74" s="230">
        <f t="shared" ref="AZ74:BA74" si="166">SUM(AZ26,AZ50)</f>
        <v>36264.5</v>
      </c>
      <c r="BA74" s="230">
        <f t="shared" si="166"/>
        <v>38409.200000000004</v>
      </c>
      <c r="BB74" s="230">
        <f t="shared" ref="BB74:BC74" si="167">SUM(BB26,BB50)</f>
        <v>40597.399999999994</v>
      </c>
      <c r="BC74" s="315">
        <f t="shared" si="167"/>
        <v>42976.9</v>
      </c>
      <c r="BD74" s="230">
        <f t="shared" ref="BD74:BE74" si="168">SUM(BD26,BD50)</f>
        <v>44708.700000000004</v>
      </c>
      <c r="BE74" s="230">
        <f t="shared" si="168"/>
        <v>45668.700000000004</v>
      </c>
      <c r="BF74" s="230">
        <f t="shared" ref="BF74" si="169">SUM(BF26,BF50)</f>
        <v>47621.8</v>
      </c>
    </row>
    <row r="75" spans="1:58" s="244" customFormat="1" ht="11.25">
      <c r="A75" s="239" t="s">
        <v>603</v>
      </c>
      <c r="B75" s="240" t="s">
        <v>604</v>
      </c>
      <c r="C75" s="241"/>
      <c r="D75" s="239"/>
      <c r="E75" s="239"/>
      <c r="F75" s="239"/>
      <c r="G75" s="239"/>
      <c r="H75" s="239"/>
      <c r="I75" s="239"/>
      <c r="J75" s="239"/>
      <c r="K75" s="239"/>
      <c r="L75" s="239"/>
      <c r="M75" s="239"/>
      <c r="N75" s="239"/>
      <c r="O75" s="239"/>
      <c r="P75" s="239"/>
      <c r="Q75" s="239"/>
      <c r="R75" s="239"/>
      <c r="S75" s="239"/>
      <c r="T75" s="239"/>
      <c r="U75" s="239"/>
      <c r="V75" s="239"/>
      <c r="W75" s="239"/>
      <c r="X75" s="239"/>
      <c r="Y75" s="239"/>
      <c r="Z75" s="239"/>
      <c r="AA75" s="239"/>
      <c r="AB75" s="239"/>
      <c r="AC75" s="239"/>
      <c r="AD75" s="239"/>
      <c r="AE75" s="239"/>
      <c r="AF75" s="239"/>
      <c r="AG75" s="239"/>
      <c r="AH75" s="239"/>
      <c r="AI75" s="239"/>
      <c r="AJ75" s="239"/>
      <c r="AK75" s="239"/>
      <c r="AL75" s="239"/>
      <c r="AM75" s="239"/>
      <c r="AN75" s="239"/>
      <c r="AO75" s="239"/>
      <c r="AP75" s="229">
        <f t="shared" si="164"/>
        <v>1143.9000000000001</v>
      </c>
      <c r="AQ75" s="230">
        <f t="shared" si="164"/>
        <v>1203.8</v>
      </c>
      <c r="AR75" s="230">
        <f t="shared" si="164"/>
        <v>1244.8</v>
      </c>
      <c r="AS75" s="230">
        <f t="shared" si="164"/>
        <v>1295.0999999999999</v>
      </c>
      <c r="AT75" s="230">
        <f t="shared" si="164"/>
        <v>1239.8</v>
      </c>
      <c r="AU75" s="315">
        <f t="shared" si="164"/>
        <v>1295.3999999999999</v>
      </c>
      <c r="AV75" s="230">
        <f t="shared" ref="AV75:AY75" si="170">SUM(AV27,AV51)</f>
        <v>1299.4000000000001</v>
      </c>
      <c r="AW75" s="230">
        <f t="shared" si="170"/>
        <v>1304.9000000000001</v>
      </c>
      <c r="AX75" s="381">
        <f t="shared" si="170"/>
        <v>1223.4000000000001</v>
      </c>
      <c r="AY75" s="382">
        <f t="shared" si="170"/>
        <v>541.19999999999993</v>
      </c>
      <c r="AZ75" s="230">
        <f t="shared" ref="AZ75:BA75" si="171">SUM(AZ27,AZ51)</f>
        <v>560.1</v>
      </c>
      <c r="BA75" s="230">
        <f t="shared" si="171"/>
        <v>594.20000000000005</v>
      </c>
      <c r="BB75" s="230">
        <f t="shared" ref="BB75:BC75" si="172">SUM(BB27,BB51)</f>
        <v>596.5</v>
      </c>
      <c r="BC75" s="315">
        <f t="shared" si="172"/>
        <v>572.9</v>
      </c>
      <c r="BD75" s="230">
        <f t="shared" ref="BD75:BE75" si="173">SUM(BD27,BD51)</f>
        <v>559.1</v>
      </c>
      <c r="BE75" s="230">
        <f t="shared" si="173"/>
        <v>601.09999999999991</v>
      </c>
      <c r="BF75" s="230">
        <f t="shared" ref="BF75" si="174">SUM(BF27,BF51)</f>
        <v>594.29999999999995</v>
      </c>
    </row>
    <row r="76" spans="1:58" s="244" customFormat="1" ht="11.25">
      <c r="A76" s="239" t="s">
        <v>607</v>
      </c>
      <c r="B76" s="240" t="s">
        <v>608</v>
      </c>
      <c r="C76" s="241"/>
      <c r="D76" s="239"/>
      <c r="E76" s="239"/>
      <c r="F76" s="239"/>
      <c r="G76" s="239"/>
      <c r="H76" s="239"/>
      <c r="I76" s="239"/>
      <c r="J76" s="239"/>
      <c r="K76" s="239"/>
      <c r="L76" s="239"/>
      <c r="M76" s="239"/>
      <c r="N76" s="239"/>
      <c r="O76" s="239"/>
      <c r="P76" s="239"/>
      <c r="Q76" s="239"/>
      <c r="R76" s="239"/>
      <c r="S76" s="239"/>
      <c r="T76" s="239"/>
      <c r="U76" s="239"/>
      <c r="V76" s="239"/>
      <c r="W76" s="239"/>
      <c r="X76" s="239"/>
      <c r="Y76" s="239"/>
      <c r="Z76" s="239"/>
      <c r="AA76" s="239"/>
      <c r="AB76" s="239"/>
      <c r="AC76" s="239"/>
      <c r="AD76" s="239"/>
      <c r="AE76" s="239"/>
      <c r="AF76" s="239"/>
      <c r="AG76" s="239"/>
      <c r="AH76" s="239"/>
      <c r="AI76" s="239"/>
      <c r="AJ76" s="239"/>
      <c r="AK76" s="239"/>
      <c r="AL76" s="239"/>
      <c r="AM76" s="239"/>
      <c r="AN76" s="239"/>
      <c r="AO76" s="239"/>
      <c r="AP76" s="229">
        <f t="shared" si="164"/>
        <v>501.4</v>
      </c>
      <c r="AQ76" s="230">
        <f t="shared" si="164"/>
        <v>535.4</v>
      </c>
      <c r="AR76" s="230">
        <f t="shared" si="164"/>
        <v>575.69999999999993</v>
      </c>
      <c r="AS76" s="230">
        <f t="shared" si="164"/>
        <v>629.30000000000007</v>
      </c>
      <c r="AT76" s="230">
        <f t="shared" si="164"/>
        <v>688.7</v>
      </c>
      <c r="AU76" s="315">
        <f t="shared" si="164"/>
        <v>750.7</v>
      </c>
      <c r="AV76" s="230">
        <f t="shared" ref="AV76:AY76" si="175">SUM(AV28,AV52)</f>
        <v>807.80000000000007</v>
      </c>
      <c r="AW76" s="230">
        <f t="shared" si="175"/>
        <v>869.19999999999993</v>
      </c>
      <c r="AX76" s="381">
        <f t="shared" si="175"/>
        <v>975.5</v>
      </c>
      <c r="AY76" s="382">
        <f t="shared" si="175"/>
        <v>0</v>
      </c>
      <c r="AZ76" s="230">
        <f t="shared" ref="AZ76:BA76" si="176">SUM(AZ28,AZ52)</f>
        <v>0</v>
      </c>
      <c r="BA76" s="230">
        <f t="shared" si="176"/>
        <v>0</v>
      </c>
      <c r="BB76" s="230">
        <f t="shared" ref="BB76:BC76" si="177">SUM(BB28,BB52)</f>
        <v>0</v>
      </c>
      <c r="BC76" s="315">
        <f t="shared" si="177"/>
        <v>0</v>
      </c>
      <c r="BD76" s="230">
        <f t="shared" ref="BD76:BE76" si="178">SUM(BD28,BD52)</f>
        <v>0</v>
      </c>
      <c r="BE76" s="230">
        <f t="shared" si="178"/>
        <v>0</v>
      </c>
      <c r="BF76" s="230">
        <f t="shared" ref="BF76" si="179">SUM(BF28,BF52)</f>
        <v>0</v>
      </c>
    </row>
    <row r="77" spans="1:58" s="244" customFormat="1" ht="11.25">
      <c r="A77" s="239" t="s">
        <v>617</v>
      </c>
      <c r="B77" s="240" t="s">
        <v>618</v>
      </c>
      <c r="C77" s="241"/>
      <c r="D77" s="239"/>
      <c r="E77" s="239"/>
      <c r="F77" s="239"/>
      <c r="G77" s="239"/>
      <c r="H77" s="239"/>
      <c r="I77" s="239"/>
      <c r="J77" s="239"/>
      <c r="K77" s="239"/>
      <c r="L77" s="239"/>
      <c r="M77" s="239"/>
      <c r="N77" s="239"/>
      <c r="O77" s="239"/>
      <c r="P77" s="239"/>
      <c r="Q77" s="239"/>
      <c r="R77" s="239"/>
      <c r="S77" s="239"/>
      <c r="T77" s="239"/>
      <c r="U77" s="239"/>
      <c r="V77" s="239"/>
      <c r="W77" s="239"/>
      <c r="X77" s="239"/>
      <c r="Y77" s="239"/>
      <c r="Z77" s="239"/>
      <c r="AA77" s="239"/>
      <c r="AB77" s="239"/>
      <c r="AC77" s="239"/>
      <c r="AD77" s="239"/>
      <c r="AE77" s="239"/>
      <c r="AF77" s="239"/>
      <c r="AG77" s="239"/>
      <c r="AH77" s="239"/>
      <c r="AI77" s="239"/>
      <c r="AJ77" s="239"/>
      <c r="AK77" s="239"/>
      <c r="AL77" s="239"/>
      <c r="AM77" s="239"/>
      <c r="AN77" s="239"/>
      <c r="AO77" s="239"/>
      <c r="AP77" s="229">
        <f t="shared" si="164"/>
        <v>6184.2</v>
      </c>
      <c r="AQ77" s="230">
        <f t="shared" si="164"/>
        <v>6501.5</v>
      </c>
      <c r="AR77" s="230">
        <f t="shared" si="164"/>
        <v>6900.8</v>
      </c>
      <c r="AS77" s="230">
        <f t="shared" si="164"/>
        <v>7210.5</v>
      </c>
      <c r="AT77" s="230">
        <f t="shared" si="164"/>
        <v>7583.3000000000011</v>
      </c>
      <c r="AU77" s="315">
        <f t="shared" si="164"/>
        <v>7788.7999999999993</v>
      </c>
      <c r="AV77" s="230">
        <f t="shared" ref="AV77:AY77" si="180">SUM(AV29,AV53)</f>
        <v>8296.1</v>
      </c>
      <c r="AW77" s="230">
        <f t="shared" si="180"/>
        <v>8681.1</v>
      </c>
      <c r="AX77" s="381">
        <f t="shared" si="180"/>
        <v>9009.0999999999985</v>
      </c>
      <c r="AY77" s="382">
        <f t="shared" si="180"/>
        <v>5713.2</v>
      </c>
      <c r="AZ77" s="230">
        <f t="shared" ref="AZ77:BA77" si="181">SUM(AZ29,AZ53)</f>
        <v>6067.6</v>
      </c>
      <c r="BA77" s="230">
        <f t="shared" si="181"/>
        <v>6316.3</v>
      </c>
      <c r="BB77" s="230">
        <f t="shared" ref="BB77:BC77" si="182">SUM(BB29,BB53)</f>
        <v>6406.4</v>
      </c>
      <c r="BC77" s="315">
        <f t="shared" si="182"/>
        <v>6516.2</v>
      </c>
      <c r="BD77" s="230">
        <f t="shared" ref="BD77:BE77" si="183">SUM(BD29,BD53)</f>
        <v>6403.5</v>
      </c>
      <c r="BE77" s="230">
        <f t="shared" si="183"/>
        <v>6490.2</v>
      </c>
      <c r="BF77" s="230">
        <f t="shared" ref="BF77" si="184">SUM(BF29,BF53)</f>
        <v>6529.2999999999993</v>
      </c>
    </row>
    <row r="78" spans="1:58" s="245" customFormat="1" ht="11.25">
      <c r="A78" s="221" t="s">
        <v>744</v>
      </c>
      <c r="B78" s="222" t="s">
        <v>736</v>
      </c>
      <c r="C78" s="223"/>
      <c r="D78" s="221"/>
      <c r="E78" s="221"/>
      <c r="F78" s="221"/>
      <c r="G78" s="221"/>
      <c r="H78" s="221"/>
      <c r="I78" s="221"/>
      <c r="J78" s="221"/>
      <c r="K78" s="221"/>
      <c r="L78" s="221"/>
      <c r="M78" s="221"/>
      <c r="N78" s="221"/>
      <c r="O78" s="221"/>
      <c r="P78" s="221"/>
      <c r="Q78" s="221"/>
      <c r="R78" s="221"/>
      <c r="S78" s="221"/>
      <c r="T78" s="221"/>
      <c r="U78" s="221"/>
      <c r="V78" s="221"/>
      <c r="W78" s="221"/>
      <c r="X78" s="221"/>
      <c r="Y78" s="221"/>
      <c r="Z78" s="221"/>
      <c r="AA78" s="221"/>
      <c r="AB78" s="221"/>
      <c r="AC78" s="221"/>
      <c r="AD78" s="221"/>
      <c r="AE78" s="221"/>
      <c r="AF78" s="221"/>
      <c r="AG78" s="221"/>
      <c r="AH78" s="221"/>
      <c r="AI78" s="221"/>
      <c r="AJ78" s="221"/>
      <c r="AK78" s="221"/>
      <c r="AL78" s="221"/>
      <c r="AM78" s="221"/>
      <c r="AN78" s="221"/>
      <c r="AO78" s="221"/>
      <c r="AP78" s="224">
        <f>SUM(AP79:AP82)</f>
        <v>4345.8999999999996</v>
      </c>
      <c r="AQ78" s="225">
        <f t="shared" ref="AQ78:AU78" si="185">SUM(AQ79:AQ82)</f>
        <v>4129.1000000000004</v>
      </c>
      <c r="AR78" s="225">
        <f t="shared" si="185"/>
        <v>4180.3</v>
      </c>
      <c r="AS78" s="225">
        <f t="shared" si="185"/>
        <v>4342.7000000000007</v>
      </c>
      <c r="AT78" s="225">
        <f t="shared" si="185"/>
        <v>718.3</v>
      </c>
      <c r="AU78" s="314">
        <f t="shared" si="185"/>
        <v>747.2</v>
      </c>
      <c r="AV78" s="225">
        <f t="shared" ref="AV78:AY78" si="186">SUM(AV79:AV82)</f>
        <v>809</v>
      </c>
      <c r="AW78" s="225">
        <f t="shared" si="186"/>
        <v>791.1</v>
      </c>
      <c r="AX78" s="375">
        <f t="shared" si="186"/>
        <v>950.6</v>
      </c>
      <c r="AY78" s="376">
        <f t="shared" si="186"/>
        <v>1227</v>
      </c>
      <c r="AZ78" s="225">
        <f t="shared" ref="AZ78:BA78" si="187">SUM(AZ79:AZ82)</f>
        <v>1459.1999999999998</v>
      </c>
      <c r="BA78" s="225">
        <f t="shared" si="187"/>
        <v>1880.4</v>
      </c>
      <c r="BB78" s="225">
        <f t="shared" ref="BB78:BC78" si="188">SUM(BB79:BB82)</f>
        <v>2296.7999999999997</v>
      </c>
      <c r="BC78" s="314">
        <f t="shared" si="188"/>
        <v>2356.6999999999998</v>
      </c>
      <c r="BD78" s="225">
        <f t="shared" ref="BD78:BE78" si="189">SUM(BD79:BD82)</f>
        <v>2182.9</v>
      </c>
      <c r="BE78" s="225">
        <f t="shared" si="189"/>
        <v>1822.5</v>
      </c>
      <c r="BF78" s="225">
        <f t="shared" ref="BF78" si="190">SUM(BF79:BF82)</f>
        <v>1933.2</v>
      </c>
    </row>
    <row r="79" spans="1:58" s="244" customFormat="1" ht="11.25">
      <c r="A79" s="239" t="s">
        <v>723</v>
      </c>
      <c r="B79" s="240" t="s">
        <v>619</v>
      </c>
      <c r="C79" s="241"/>
      <c r="D79" s="239"/>
      <c r="E79" s="239"/>
      <c r="F79" s="239"/>
      <c r="G79" s="239"/>
      <c r="H79" s="239"/>
      <c r="I79" s="239"/>
      <c r="J79" s="239"/>
      <c r="K79" s="239"/>
      <c r="L79" s="239"/>
      <c r="M79" s="239"/>
      <c r="N79" s="239"/>
      <c r="O79" s="239"/>
      <c r="P79" s="239"/>
      <c r="Q79" s="239"/>
      <c r="R79" s="239"/>
      <c r="S79" s="239"/>
      <c r="T79" s="239"/>
      <c r="U79" s="239"/>
      <c r="V79" s="239"/>
      <c r="W79" s="239"/>
      <c r="X79" s="239"/>
      <c r="Y79" s="239"/>
      <c r="Z79" s="239"/>
      <c r="AA79" s="239"/>
      <c r="AB79" s="239"/>
      <c r="AC79" s="239"/>
      <c r="AD79" s="239"/>
      <c r="AE79" s="239"/>
      <c r="AF79" s="239"/>
      <c r="AG79" s="239"/>
      <c r="AH79" s="239"/>
      <c r="AI79" s="239"/>
      <c r="AJ79" s="239"/>
      <c r="AK79" s="239"/>
      <c r="AL79" s="239"/>
      <c r="AM79" s="239"/>
      <c r="AN79" s="239"/>
      <c r="AO79" s="239"/>
      <c r="AP79" s="229">
        <f t="shared" ref="AP79:AU82" si="191">SUM(AP31,AP55)</f>
        <v>3910</v>
      </c>
      <c r="AQ79" s="230">
        <f t="shared" si="191"/>
        <v>3685.7000000000003</v>
      </c>
      <c r="AR79" s="230">
        <f t="shared" si="191"/>
        <v>3589.1000000000004</v>
      </c>
      <c r="AS79" s="230">
        <f t="shared" si="191"/>
        <v>3673.7000000000003</v>
      </c>
      <c r="AT79" s="230">
        <f t="shared" si="191"/>
        <v>-0.7</v>
      </c>
      <c r="AU79" s="315">
        <f t="shared" si="191"/>
        <v>0</v>
      </c>
      <c r="AV79" s="230">
        <f t="shared" ref="AV79:AY79" si="192">SUM(AV31,AV55)</f>
        <v>0</v>
      </c>
      <c r="AW79" s="230">
        <f t="shared" si="192"/>
        <v>0</v>
      </c>
      <c r="AX79" s="381">
        <f t="shared" si="192"/>
        <v>0</v>
      </c>
      <c r="AY79" s="382">
        <f t="shared" si="192"/>
        <v>0</v>
      </c>
      <c r="AZ79" s="230">
        <f t="shared" ref="AZ79:BA79" si="193">SUM(AZ31,AZ55)</f>
        <v>0</v>
      </c>
      <c r="BA79" s="230">
        <f t="shared" si="193"/>
        <v>0</v>
      </c>
      <c r="BB79" s="230">
        <f t="shared" ref="BB79:BC79" si="194">SUM(BB31,BB55)</f>
        <v>0</v>
      </c>
      <c r="BC79" s="315">
        <f t="shared" si="194"/>
        <v>0</v>
      </c>
      <c r="BD79" s="230">
        <f t="shared" ref="BD79:BE79" si="195">SUM(BD31,BD55)</f>
        <v>0</v>
      </c>
      <c r="BE79" s="230">
        <f t="shared" si="195"/>
        <v>0</v>
      </c>
      <c r="BF79" s="230">
        <f t="shared" ref="BF79" si="196">SUM(BF31,BF55)</f>
        <v>0</v>
      </c>
    </row>
    <row r="80" spans="1:58" s="244" customFormat="1" ht="11.25">
      <c r="A80" s="239" t="s">
        <v>620</v>
      </c>
      <c r="B80" s="240" t="s">
        <v>621</v>
      </c>
      <c r="C80" s="241"/>
      <c r="D80" s="239"/>
      <c r="E80" s="239"/>
      <c r="F80" s="239"/>
      <c r="G80" s="239"/>
      <c r="H80" s="239"/>
      <c r="I80" s="239"/>
      <c r="J80" s="239"/>
      <c r="K80" s="239"/>
      <c r="L80" s="239"/>
      <c r="M80" s="239"/>
      <c r="N80" s="239"/>
      <c r="O80" s="239"/>
      <c r="P80" s="239"/>
      <c r="Q80" s="239"/>
      <c r="R80" s="239"/>
      <c r="S80" s="239"/>
      <c r="T80" s="239"/>
      <c r="U80" s="239"/>
      <c r="V80" s="239"/>
      <c r="W80" s="239"/>
      <c r="X80" s="239"/>
      <c r="Y80" s="239"/>
      <c r="Z80" s="239"/>
      <c r="AA80" s="239"/>
      <c r="AB80" s="239"/>
      <c r="AC80" s="239"/>
      <c r="AD80" s="239"/>
      <c r="AE80" s="239"/>
      <c r="AF80" s="239"/>
      <c r="AG80" s="239"/>
      <c r="AH80" s="239"/>
      <c r="AI80" s="239"/>
      <c r="AJ80" s="239"/>
      <c r="AK80" s="239"/>
      <c r="AL80" s="239"/>
      <c r="AM80" s="239"/>
      <c r="AN80" s="239"/>
      <c r="AO80" s="239"/>
      <c r="AP80" s="229">
        <f t="shared" si="191"/>
        <v>329</v>
      </c>
      <c r="AQ80" s="230">
        <f t="shared" si="191"/>
        <v>324.60000000000002</v>
      </c>
      <c r="AR80" s="230">
        <f t="shared" si="191"/>
        <v>483.4</v>
      </c>
      <c r="AS80" s="230">
        <f t="shared" si="191"/>
        <v>521.20000000000005</v>
      </c>
      <c r="AT80" s="230">
        <f t="shared" si="191"/>
        <v>540.1</v>
      </c>
      <c r="AU80" s="315">
        <f t="shared" si="191"/>
        <v>603</v>
      </c>
      <c r="AV80" s="230">
        <f t="shared" ref="AV80:AY80" si="197">SUM(AV32,AV56)</f>
        <v>651.70000000000005</v>
      </c>
      <c r="AW80" s="230">
        <f t="shared" si="197"/>
        <v>612</v>
      </c>
      <c r="AX80" s="381">
        <f t="shared" si="197"/>
        <v>733</v>
      </c>
      <c r="AY80" s="382">
        <f t="shared" si="197"/>
        <v>1029.7</v>
      </c>
      <c r="AZ80" s="230">
        <f t="shared" ref="AZ80:BA80" si="198">SUM(AZ32,AZ56)</f>
        <v>1081.0999999999999</v>
      </c>
      <c r="BA80" s="230">
        <f t="shared" si="198"/>
        <v>1451.7</v>
      </c>
      <c r="BB80" s="230">
        <f t="shared" ref="BB80:BC80" si="199">SUM(BB32,BB56)</f>
        <v>1598.6</v>
      </c>
      <c r="BC80" s="315">
        <f t="shared" si="199"/>
        <v>1936.5</v>
      </c>
      <c r="BD80" s="230">
        <f t="shared" ref="BD80:BE80" si="200">SUM(BD32,BD56)</f>
        <v>1368.2</v>
      </c>
      <c r="BE80" s="230">
        <f t="shared" si="200"/>
        <v>1212.9000000000001</v>
      </c>
      <c r="BF80" s="230">
        <f t="shared" ref="BF80" si="201">SUM(BF32,BF56)</f>
        <v>1272.2</v>
      </c>
    </row>
    <row r="81" spans="1:58" s="244" customFormat="1" ht="11.25">
      <c r="A81" s="239" t="s">
        <v>622</v>
      </c>
      <c r="B81" s="240" t="s">
        <v>623</v>
      </c>
      <c r="C81" s="241"/>
      <c r="D81" s="239"/>
      <c r="E81" s="239"/>
      <c r="F81" s="239"/>
      <c r="G81" s="239"/>
      <c r="H81" s="239"/>
      <c r="I81" s="239"/>
      <c r="J81" s="239"/>
      <c r="K81" s="239"/>
      <c r="L81" s="239"/>
      <c r="M81" s="239"/>
      <c r="N81" s="239"/>
      <c r="O81" s="239"/>
      <c r="P81" s="239"/>
      <c r="Q81" s="239"/>
      <c r="R81" s="239"/>
      <c r="S81" s="239"/>
      <c r="T81" s="239"/>
      <c r="U81" s="239"/>
      <c r="V81" s="239"/>
      <c r="W81" s="239"/>
      <c r="X81" s="239"/>
      <c r="Y81" s="239"/>
      <c r="Z81" s="239"/>
      <c r="AA81" s="239"/>
      <c r="AB81" s="239"/>
      <c r="AC81" s="239"/>
      <c r="AD81" s="239"/>
      <c r="AE81" s="239"/>
      <c r="AF81" s="239"/>
      <c r="AG81" s="239"/>
      <c r="AH81" s="239"/>
      <c r="AI81" s="239"/>
      <c r="AJ81" s="239"/>
      <c r="AK81" s="239"/>
      <c r="AL81" s="239"/>
      <c r="AM81" s="239"/>
      <c r="AN81" s="239"/>
      <c r="AO81" s="239"/>
      <c r="AP81" s="229">
        <f t="shared" si="191"/>
        <v>0</v>
      </c>
      <c r="AQ81" s="230">
        <f t="shared" si="191"/>
        <v>19.899999999999999</v>
      </c>
      <c r="AR81" s="230">
        <f t="shared" si="191"/>
        <v>20</v>
      </c>
      <c r="AS81" s="230">
        <f t="shared" si="191"/>
        <v>19.7</v>
      </c>
      <c r="AT81" s="230">
        <f t="shared" si="191"/>
        <v>19.8</v>
      </c>
      <c r="AU81" s="315">
        <f t="shared" si="191"/>
        <v>0</v>
      </c>
      <c r="AV81" s="230">
        <f t="shared" ref="AV81:AY81" si="202">SUM(AV33,AV57)</f>
        <v>0</v>
      </c>
      <c r="AW81" s="230">
        <f t="shared" si="202"/>
        <v>0</v>
      </c>
      <c r="AX81" s="381">
        <f t="shared" si="202"/>
        <v>0</v>
      </c>
      <c r="AY81" s="382">
        <f t="shared" si="202"/>
        <v>0</v>
      </c>
      <c r="AZ81" s="230">
        <f t="shared" ref="AZ81:BA81" si="203">SUM(AZ33,AZ57)</f>
        <v>0</v>
      </c>
      <c r="BA81" s="230">
        <f t="shared" si="203"/>
        <v>0</v>
      </c>
      <c r="BB81" s="230">
        <f t="shared" ref="BB81:BC81" si="204">SUM(BB33,BB57)</f>
        <v>0</v>
      </c>
      <c r="BC81" s="315">
        <f t="shared" si="204"/>
        <v>0</v>
      </c>
      <c r="BD81" s="230">
        <f t="shared" ref="BD81:BE81" si="205">SUM(BD33,BD57)</f>
        <v>0</v>
      </c>
      <c r="BE81" s="230">
        <f t="shared" si="205"/>
        <v>0</v>
      </c>
      <c r="BF81" s="230">
        <f t="shared" ref="BF81" si="206">SUM(BF33,BF57)</f>
        <v>0</v>
      </c>
    </row>
    <row r="82" spans="1:58" s="244" customFormat="1" ht="11.25">
      <c r="A82" s="239" t="s">
        <v>724</v>
      </c>
      <c r="B82" s="240" t="s">
        <v>624</v>
      </c>
      <c r="C82" s="241"/>
      <c r="D82" s="239"/>
      <c r="E82" s="239"/>
      <c r="F82" s="239"/>
      <c r="G82" s="239"/>
      <c r="H82" s="239"/>
      <c r="I82" s="239"/>
      <c r="J82" s="239"/>
      <c r="K82" s="239"/>
      <c r="L82" s="239"/>
      <c r="M82" s="239"/>
      <c r="N82" s="239"/>
      <c r="O82" s="239"/>
      <c r="P82" s="239"/>
      <c r="Q82" s="239"/>
      <c r="R82" s="239"/>
      <c r="S82" s="239"/>
      <c r="T82" s="239"/>
      <c r="U82" s="239"/>
      <c r="V82" s="239"/>
      <c r="W82" s="239"/>
      <c r="X82" s="239"/>
      <c r="Y82" s="239"/>
      <c r="Z82" s="239"/>
      <c r="AA82" s="239"/>
      <c r="AB82" s="239"/>
      <c r="AC82" s="239"/>
      <c r="AD82" s="239"/>
      <c r="AE82" s="239"/>
      <c r="AF82" s="239"/>
      <c r="AG82" s="239"/>
      <c r="AH82" s="239"/>
      <c r="AI82" s="239"/>
      <c r="AJ82" s="239"/>
      <c r="AK82" s="239"/>
      <c r="AL82" s="239"/>
      <c r="AM82" s="239"/>
      <c r="AN82" s="239"/>
      <c r="AO82" s="239"/>
      <c r="AP82" s="229">
        <f t="shared" si="191"/>
        <v>106.9</v>
      </c>
      <c r="AQ82" s="230">
        <f t="shared" si="191"/>
        <v>98.9</v>
      </c>
      <c r="AR82" s="230">
        <f t="shared" si="191"/>
        <v>87.8</v>
      </c>
      <c r="AS82" s="230">
        <f t="shared" si="191"/>
        <v>128.1</v>
      </c>
      <c r="AT82" s="230">
        <f t="shared" si="191"/>
        <v>159.1</v>
      </c>
      <c r="AU82" s="315">
        <f t="shared" si="191"/>
        <v>144.19999999999999</v>
      </c>
      <c r="AV82" s="230">
        <f t="shared" ref="AV82:AY82" si="207">SUM(AV34,AV58)</f>
        <v>157.30000000000001</v>
      </c>
      <c r="AW82" s="230">
        <f t="shared" si="207"/>
        <v>179.1</v>
      </c>
      <c r="AX82" s="381">
        <f t="shared" si="207"/>
        <v>217.6</v>
      </c>
      <c r="AY82" s="382">
        <f t="shared" si="207"/>
        <v>197.3</v>
      </c>
      <c r="AZ82" s="230">
        <f t="shared" ref="AZ82:BA82" si="208">SUM(AZ34,AZ58)</f>
        <v>378.1</v>
      </c>
      <c r="BA82" s="230">
        <f t="shared" si="208"/>
        <v>428.7</v>
      </c>
      <c r="BB82" s="230">
        <f t="shared" ref="BB82:BC82" si="209">SUM(BB34,BB58)</f>
        <v>698.19999999999993</v>
      </c>
      <c r="BC82" s="315">
        <f t="shared" si="209"/>
        <v>420.2</v>
      </c>
      <c r="BD82" s="230">
        <f t="shared" ref="BD82:BE82" si="210">SUM(BD34,BD58)</f>
        <v>814.7</v>
      </c>
      <c r="BE82" s="230">
        <f t="shared" si="210"/>
        <v>609.6</v>
      </c>
      <c r="BF82" s="230">
        <f t="shared" ref="BF82" si="211">SUM(BF34,BF58)</f>
        <v>661</v>
      </c>
    </row>
  </sheetData>
  <mergeCells count="12">
    <mergeCell ref="BC2:BF2"/>
    <mergeCell ref="BC9:BF9"/>
    <mergeCell ref="AY2:BB2"/>
    <mergeCell ref="AY9:BB9"/>
    <mergeCell ref="AU2:AX2"/>
    <mergeCell ref="AU9:AX9"/>
    <mergeCell ref="A9:A10"/>
    <mergeCell ref="B9:B10"/>
    <mergeCell ref="AQ9:AT9"/>
    <mergeCell ref="A2:A3"/>
    <mergeCell ref="B2:B3"/>
    <mergeCell ref="AQ2:AT2"/>
  </mergeCells>
  <pageMargins left="0.7" right="0.7" top="0.75" bottom="0.75" header="0.3" footer="0.3"/>
  <pageSetup paperSize="9" scale="41" orientation="landscape" r:id="rId1"/>
  <ignoredErrors>
    <ignoredError sqref="AP73:AU82" formula="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02"/>
  <sheetViews>
    <sheetView showGridLines="0" view="pageBreakPreview" zoomScaleNormal="100" zoomScaleSheetLayoutView="100" workbookViewId="0">
      <pane xSplit="6" ySplit="5" topLeftCell="AS6" activePane="bottomRight" state="frozen"/>
      <selection pane="topRight" activeCell="G1" sqref="G1"/>
      <selection pane="bottomLeft" activeCell="A6" sqref="A6"/>
      <selection pane="bottomRight" activeCell="BC2" sqref="BC2:BF2"/>
    </sheetView>
  </sheetViews>
  <sheetFormatPr defaultColWidth="8.85546875" defaultRowHeight="12.75" outlineLevelCol="1"/>
  <cols>
    <col min="1" max="1" width="61.85546875" style="1" customWidth="1" outlineLevel="1"/>
    <col min="2" max="2" width="56.42578125" style="1" bestFit="1" customWidth="1"/>
    <col min="3" max="6" width="7.85546875" style="2" hidden="1" customWidth="1" outlineLevel="1"/>
    <col min="7" max="7" width="7" style="2" bestFit="1" customWidth="1" collapsed="1"/>
    <col min="8" max="8" width="7" style="2" customWidth="1"/>
    <col min="9" max="42" width="7" style="2" bestFit="1" customWidth="1"/>
    <col min="43" max="43" width="7.42578125" style="2" bestFit="1" customWidth="1"/>
    <col min="44" max="46" width="7" style="2" bestFit="1" customWidth="1"/>
    <col min="47" max="16384" width="8.85546875" style="2"/>
  </cols>
  <sheetData>
    <row r="1" spans="1:58" s="3" customFormat="1" ht="12.75" customHeight="1">
      <c r="A1" s="11"/>
      <c r="B1" s="11"/>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S1" s="12"/>
      <c r="AT1" s="12"/>
      <c r="AX1" s="383"/>
      <c r="AY1" s="350" t="s">
        <v>901</v>
      </c>
      <c r="AZ1" s="172"/>
      <c r="BA1" s="172"/>
      <c r="BB1" s="172"/>
    </row>
    <row r="2" spans="1:58" ht="12.75" customHeight="1">
      <c r="A2" s="686" t="s">
        <v>658</v>
      </c>
      <c r="B2" s="686" t="s">
        <v>659</v>
      </c>
      <c r="C2" s="688" t="s">
        <v>393</v>
      </c>
      <c r="D2" s="689"/>
      <c r="E2" s="689"/>
      <c r="F2" s="689"/>
      <c r="G2" s="688">
        <v>2008</v>
      </c>
      <c r="H2" s="689"/>
      <c r="I2" s="689"/>
      <c r="J2" s="690"/>
      <c r="K2" s="691">
        <v>2009</v>
      </c>
      <c r="L2" s="689"/>
      <c r="M2" s="689"/>
      <c r="N2" s="689"/>
      <c r="O2" s="688">
        <v>2010</v>
      </c>
      <c r="P2" s="689"/>
      <c r="Q2" s="689"/>
      <c r="R2" s="690"/>
      <c r="S2" s="691">
        <v>2011</v>
      </c>
      <c r="T2" s="689"/>
      <c r="U2" s="689"/>
      <c r="V2" s="689"/>
      <c r="W2" s="692">
        <v>2012</v>
      </c>
      <c r="X2" s="693"/>
      <c r="Y2" s="693"/>
      <c r="Z2" s="694"/>
      <c r="AA2" s="693">
        <v>2013</v>
      </c>
      <c r="AB2" s="693"/>
      <c r="AC2" s="693"/>
      <c r="AD2" s="693"/>
      <c r="AE2" s="697">
        <v>2014</v>
      </c>
      <c r="AF2" s="689"/>
      <c r="AG2" s="689"/>
      <c r="AH2" s="690"/>
      <c r="AI2" s="689">
        <v>2015</v>
      </c>
      <c r="AJ2" s="689"/>
      <c r="AK2" s="689"/>
      <c r="AL2" s="689"/>
      <c r="AM2" s="697">
        <v>2016</v>
      </c>
      <c r="AN2" s="689"/>
      <c r="AO2" s="689"/>
      <c r="AP2" s="690"/>
      <c r="AQ2" s="699">
        <v>2017</v>
      </c>
      <c r="AR2" s="699"/>
      <c r="AS2" s="699"/>
      <c r="AT2" s="700"/>
      <c r="AU2" s="702">
        <v>2018</v>
      </c>
      <c r="AV2" s="701"/>
      <c r="AW2" s="701"/>
      <c r="AX2" s="648"/>
      <c r="AY2" s="701">
        <v>2019</v>
      </c>
      <c r="AZ2" s="701"/>
      <c r="BA2" s="701"/>
      <c r="BB2" s="644"/>
      <c r="BC2" s="695">
        <v>2020</v>
      </c>
      <c r="BD2" s="696"/>
      <c r="BE2" s="696"/>
      <c r="BF2" s="638"/>
    </row>
    <row r="3" spans="1:58" s="3" customFormat="1">
      <c r="A3" s="687"/>
      <c r="B3" s="687"/>
      <c r="C3" s="5" t="s">
        <v>392</v>
      </c>
      <c r="D3" s="6" t="s">
        <v>150</v>
      </c>
      <c r="E3" s="6" t="s">
        <v>151</v>
      </c>
      <c r="F3" s="6" t="s">
        <v>152</v>
      </c>
      <c r="G3" s="5" t="s">
        <v>391</v>
      </c>
      <c r="H3" s="6" t="s">
        <v>150</v>
      </c>
      <c r="I3" s="6" t="s">
        <v>151</v>
      </c>
      <c r="J3" s="7" t="s">
        <v>152</v>
      </c>
      <c r="K3" s="6" t="s">
        <v>149</v>
      </c>
      <c r="L3" s="6" t="s">
        <v>150</v>
      </c>
      <c r="M3" s="6" t="s">
        <v>151</v>
      </c>
      <c r="N3" s="6" t="s">
        <v>152</v>
      </c>
      <c r="O3" s="5" t="s">
        <v>149</v>
      </c>
      <c r="P3" s="6" t="s">
        <v>150</v>
      </c>
      <c r="Q3" s="6" t="s">
        <v>151</v>
      </c>
      <c r="R3" s="7" t="s">
        <v>152</v>
      </c>
      <c r="S3" s="6" t="s">
        <v>149</v>
      </c>
      <c r="T3" s="6" t="s">
        <v>150</v>
      </c>
      <c r="U3" s="6" t="s">
        <v>151</v>
      </c>
      <c r="V3" s="6" t="s">
        <v>152</v>
      </c>
      <c r="W3" s="5" t="s">
        <v>149</v>
      </c>
      <c r="X3" s="6" t="s">
        <v>150</v>
      </c>
      <c r="Y3" s="6" t="s">
        <v>151</v>
      </c>
      <c r="Z3" s="7" t="s">
        <v>152</v>
      </c>
      <c r="AA3" s="6" t="s">
        <v>149</v>
      </c>
      <c r="AB3" s="6" t="s">
        <v>150</v>
      </c>
      <c r="AC3" s="6" t="s">
        <v>151</v>
      </c>
      <c r="AD3" s="6" t="s">
        <v>152</v>
      </c>
      <c r="AE3" s="8" t="s">
        <v>149</v>
      </c>
      <c r="AF3" s="9" t="s">
        <v>150</v>
      </c>
      <c r="AG3" s="9" t="s">
        <v>151</v>
      </c>
      <c r="AH3" s="10" t="s">
        <v>152</v>
      </c>
      <c r="AI3" s="9" t="s">
        <v>149</v>
      </c>
      <c r="AJ3" s="9" t="s">
        <v>150</v>
      </c>
      <c r="AK3" s="9" t="s">
        <v>151</v>
      </c>
      <c r="AL3" s="9" t="s">
        <v>152</v>
      </c>
      <c r="AM3" s="8" t="s">
        <v>149</v>
      </c>
      <c r="AN3" s="9" t="s">
        <v>150</v>
      </c>
      <c r="AO3" s="9" t="s">
        <v>151</v>
      </c>
      <c r="AP3" s="10" t="s">
        <v>152</v>
      </c>
      <c r="AQ3" s="9" t="s">
        <v>149</v>
      </c>
      <c r="AR3" s="9" t="s">
        <v>150</v>
      </c>
      <c r="AS3" s="9" t="s">
        <v>151</v>
      </c>
      <c r="AT3" s="10" t="s">
        <v>152</v>
      </c>
      <c r="AU3" s="9" t="s">
        <v>149</v>
      </c>
      <c r="AV3" s="9" t="s">
        <v>150</v>
      </c>
      <c r="AW3" s="9" t="s">
        <v>151</v>
      </c>
      <c r="AX3" s="384" t="s">
        <v>152</v>
      </c>
      <c r="AY3" s="385" t="s">
        <v>149</v>
      </c>
      <c r="AZ3" s="9" t="s">
        <v>150</v>
      </c>
      <c r="BA3" s="9" t="s">
        <v>151</v>
      </c>
      <c r="BB3" s="9" t="s">
        <v>152</v>
      </c>
      <c r="BC3" s="9" t="s">
        <v>149</v>
      </c>
      <c r="BD3" s="9" t="s">
        <v>150</v>
      </c>
      <c r="BE3" s="9" t="s">
        <v>151</v>
      </c>
      <c r="BF3" s="9" t="s">
        <v>152</v>
      </c>
    </row>
    <row r="4" spans="1:58" s="172" customFormat="1" ht="11.25">
      <c r="A4" s="22" t="s">
        <v>154</v>
      </c>
      <c r="B4" s="22" t="s">
        <v>11</v>
      </c>
      <c r="C4" s="108"/>
      <c r="D4" s="109"/>
      <c r="E4" s="55"/>
      <c r="F4" s="109"/>
      <c r="G4" s="108"/>
      <c r="H4" s="109"/>
      <c r="I4" s="55"/>
      <c r="J4" s="110"/>
      <c r="K4" s="55"/>
      <c r="L4" s="109"/>
      <c r="M4" s="55"/>
      <c r="N4" s="109"/>
      <c r="O4" s="108"/>
      <c r="P4" s="109"/>
      <c r="Q4" s="55"/>
      <c r="R4" s="110"/>
      <c r="S4" s="55"/>
      <c r="T4" s="109"/>
      <c r="U4" s="55"/>
      <c r="V4" s="109"/>
      <c r="W4" s="108"/>
      <c r="X4" s="55"/>
      <c r="Y4" s="55"/>
      <c r="Z4" s="177"/>
      <c r="AA4" s="55"/>
      <c r="AB4" s="55"/>
      <c r="AC4" s="55"/>
      <c r="AD4" s="55"/>
      <c r="AE4" s="254"/>
      <c r="AF4" s="17"/>
      <c r="AG4" s="17"/>
      <c r="AH4" s="255"/>
      <c r="AI4" s="17"/>
      <c r="AJ4" s="17"/>
      <c r="AK4" s="17"/>
      <c r="AL4" s="17"/>
      <c r="AM4" s="254"/>
      <c r="AN4" s="17"/>
      <c r="AO4" s="17"/>
      <c r="AP4" s="255"/>
      <c r="AQ4" s="17"/>
      <c r="AR4" s="17"/>
      <c r="AS4" s="17"/>
      <c r="AT4" s="255"/>
      <c r="AU4" s="79"/>
      <c r="AV4" s="79"/>
      <c r="AW4" s="79"/>
      <c r="AX4" s="386"/>
      <c r="AY4" s="387"/>
      <c r="AZ4" s="79"/>
      <c r="BA4" s="79"/>
      <c r="BB4" s="334"/>
      <c r="BC4" s="79"/>
      <c r="BD4" s="79"/>
      <c r="BE4" s="79"/>
      <c r="BF4" s="79"/>
    </row>
    <row r="5" spans="1:58" s="176" customFormat="1" ht="11.25">
      <c r="A5" s="51" t="s">
        <v>601</v>
      </c>
      <c r="B5" s="51" t="s">
        <v>95</v>
      </c>
      <c r="C5" s="256"/>
      <c r="D5" s="38"/>
      <c r="E5" s="38"/>
      <c r="F5" s="39"/>
      <c r="G5" s="256"/>
      <c r="H5" s="38"/>
      <c r="I5" s="38"/>
      <c r="J5" s="39"/>
      <c r="K5" s="38"/>
      <c r="L5" s="38"/>
      <c r="M5" s="38"/>
      <c r="N5" s="38"/>
      <c r="O5" s="37"/>
      <c r="P5" s="38"/>
      <c r="Q5" s="38"/>
      <c r="R5" s="39"/>
      <c r="S5" s="38"/>
      <c r="T5" s="38"/>
      <c r="U5" s="38"/>
      <c r="V5" s="38"/>
      <c r="W5" s="37"/>
      <c r="X5" s="38"/>
      <c r="Y5" s="38"/>
      <c r="Z5" s="39"/>
      <c r="AA5" s="38"/>
      <c r="AB5" s="38"/>
      <c r="AC5" s="38"/>
      <c r="AD5" s="38"/>
      <c r="AE5" s="37"/>
      <c r="AF5" s="38"/>
      <c r="AG5" s="38"/>
      <c r="AH5" s="39"/>
      <c r="AI5" s="38"/>
      <c r="AJ5" s="38"/>
      <c r="AK5" s="38"/>
      <c r="AL5" s="38"/>
      <c r="AM5" s="37"/>
      <c r="AN5" s="38"/>
      <c r="AO5" s="38"/>
      <c r="AP5" s="39"/>
      <c r="AQ5" s="38"/>
      <c r="AR5" s="38"/>
      <c r="AS5" s="38"/>
      <c r="AT5" s="39"/>
      <c r="AU5" s="75"/>
      <c r="AV5" s="75"/>
      <c r="AW5" s="75"/>
      <c r="AX5" s="388"/>
      <c r="AY5" s="389"/>
      <c r="AZ5" s="75"/>
      <c r="BA5" s="75"/>
      <c r="BB5" s="76"/>
      <c r="BC5" s="75"/>
      <c r="BD5" s="75"/>
      <c r="BE5" s="75"/>
      <c r="BF5" s="75"/>
    </row>
    <row r="6" spans="1:58" s="173" customFormat="1" ht="11.25">
      <c r="A6" s="30" t="s">
        <v>660</v>
      </c>
      <c r="B6" s="30" t="s">
        <v>661</v>
      </c>
      <c r="C6" s="61" t="s">
        <v>332</v>
      </c>
      <c r="D6" s="62" t="s">
        <v>332</v>
      </c>
      <c r="E6" s="62" t="s">
        <v>332</v>
      </c>
      <c r="F6" s="70" t="s">
        <v>332</v>
      </c>
      <c r="G6" s="61" t="s">
        <v>332</v>
      </c>
      <c r="H6" s="62" t="s">
        <v>332</v>
      </c>
      <c r="I6" s="62" t="s">
        <v>332</v>
      </c>
      <c r="J6" s="70" t="s">
        <v>332</v>
      </c>
      <c r="K6" s="62" t="s">
        <v>332</v>
      </c>
      <c r="L6" s="62" t="s">
        <v>332</v>
      </c>
      <c r="M6" s="62" t="s">
        <v>332</v>
      </c>
      <c r="N6" s="62" t="s">
        <v>332</v>
      </c>
      <c r="O6" s="61" t="s">
        <v>332</v>
      </c>
      <c r="P6" s="62" t="s">
        <v>332</v>
      </c>
      <c r="Q6" s="62" t="s">
        <v>332</v>
      </c>
      <c r="R6" s="70" t="s">
        <v>332</v>
      </c>
      <c r="S6" s="62" t="s">
        <v>332</v>
      </c>
      <c r="T6" s="62" t="s">
        <v>332</v>
      </c>
      <c r="U6" s="62" t="s">
        <v>332</v>
      </c>
      <c r="V6" s="62" t="s">
        <v>332</v>
      </c>
      <c r="W6" s="61" t="s">
        <v>332</v>
      </c>
      <c r="X6" s="62" t="s">
        <v>332</v>
      </c>
      <c r="Y6" s="62" t="s">
        <v>332</v>
      </c>
      <c r="Z6" s="70" t="s">
        <v>332</v>
      </c>
      <c r="AA6" s="62" t="s">
        <v>332</v>
      </c>
      <c r="AB6" s="62" t="s">
        <v>332</v>
      </c>
      <c r="AC6" s="62" t="s">
        <v>332</v>
      </c>
      <c r="AD6" s="62" t="s">
        <v>332</v>
      </c>
      <c r="AE6" s="61" t="s">
        <v>332</v>
      </c>
      <c r="AF6" s="62" t="s">
        <v>332</v>
      </c>
      <c r="AG6" s="62" t="s">
        <v>332</v>
      </c>
      <c r="AH6" s="70" t="s">
        <v>332</v>
      </c>
      <c r="AI6" s="62" t="s">
        <v>332</v>
      </c>
      <c r="AJ6" s="62" t="s">
        <v>332</v>
      </c>
      <c r="AK6" s="62" t="s">
        <v>332</v>
      </c>
      <c r="AL6" s="62" t="s">
        <v>332</v>
      </c>
      <c r="AM6" s="61" t="s">
        <v>332</v>
      </c>
      <c r="AN6" s="62" t="s">
        <v>332</v>
      </c>
      <c r="AO6" s="62" t="s">
        <v>332</v>
      </c>
      <c r="AP6" s="70" t="s">
        <v>332</v>
      </c>
      <c r="AQ6" s="62" t="s">
        <v>332</v>
      </c>
      <c r="AR6" s="62" t="s">
        <v>332</v>
      </c>
      <c r="AS6" s="62" t="s">
        <v>332</v>
      </c>
      <c r="AT6" s="70" t="s">
        <v>332</v>
      </c>
      <c r="AU6" s="408">
        <f t="shared" ref="AU6:BB6" si="0">SUM(AU7:AU10)</f>
        <v>51942.5</v>
      </c>
      <c r="AV6" s="408">
        <f t="shared" si="0"/>
        <v>54179.200000000004</v>
      </c>
      <c r="AW6" s="408">
        <f t="shared" si="0"/>
        <v>56859</v>
      </c>
      <c r="AX6" s="540">
        <f t="shared" si="0"/>
        <v>58863.5</v>
      </c>
      <c r="AY6" s="541">
        <f t="shared" si="0"/>
        <v>66846.600000000006</v>
      </c>
      <c r="AZ6" s="408">
        <f t="shared" si="0"/>
        <v>67579</v>
      </c>
      <c r="BA6" s="408">
        <f t="shared" si="0"/>
        <v>70010.5</v>
      </c>
      <c r="BB6" s="504">
        <f t="shared" si="0"/>
        <v>69916.7</v>
      </c>
      <c r="BC6" s="408">
        <f>SUM(BC7:BC10)</f>
        <v>72928.800000000003</v>
      </c>
      <c r="BD6" s="408">
        <f>SUM(BD7:BD10)</f>
        <v>68854.400000000009</v>
      </c>
      <c r="BE6" s="408">
        <f>SUM(BE7:BE10)</f>
        <v>69981.099999999991</v>
      </c>
      <c r="BF6" s="408">
        <f>SUM(BF7:BF10)</f>
        <v>70159.900000000009</v>
      </c>
    </row>
    <row r="7" spans="1:58" s="17" customFormat="1" ht="11.25">
      <c r="A7" s="26" t="s">
        <v>745</v>
      </c>
      <c r="B7" s="26" t="s">
        <v>662</v>
      </c>
      <c r="C7" s="61" t="s">
        <v>332</v>
      </c>
      <c r="D7" s="62" t="s">
        <v>332</v>
      </c>
      <c r="E7" s="62" t="s">
        <v>332</v>
      </c>
      <c r="F7" s="70" t="s">
        <v>332</v>
      </c>
      <c r="G7" s="61" t="s">
        <v>332</v>
      </c>
      <c r="H7" s="62" t="s">
        <v>332</v>
      </c>
      <c r="I7" s="62" t="s">
        <v>332</v>
      </c>
      <c r="J7" s="70" t="s">
        <v>332</v>
      </c>
      <c r="K7" s="62" t="s">
        <v>332</v>
      </c>
      <c r="L7" s="62" t="s">
        <v>332</v>
      </c>
      <c r="M7" s="62" t="s">
        <v>332</v>
      </c>
      <c r="N7" s="62" t="s">
        <v>332</v>
      </c>
      <c r="O7" s="61" t="s">
        <v>332</v>
      </c>
      <c r="P7" s="62" t="s">
        <v>332</v>
      </c>
      <c r="Q7" s="62" t="s">
        <v>332</v>
      </c>
      <c r="R7" s="70" t="s">
        <v>332</v>
      </c>
      <c r="S7" s="62" t="s">
        <v>332</v>
      </c>
      <c r="T7" s="62" t="s">
        <v>332</v>
      </c>
      <c r="U7" s="62" t="s">
        <v>332</v>
      </c>
      <c r="V7" s="62" t="s">
        <v>332</v>
      </c>
      <c r="W7" s="61" t="s">
        <v>332</v>
      </c>
      <c r="X7" s="62" t="s">
        <v>332</v>
      </c>
      <c r="Y7" s="62" t="s">
        <v>332</v>
      </c>
      <c r="Z7" s="70" t="s">
        <v>332</v>
      </c>
      <c r="AA7" s="62" t="s">
        <v>332</v>
      </c>
      <c r="AB7" s="62" t="s">
        <v>332</v>
      </c>
      <c r="AC7" s="62" t="s">
        <v>332</v>
      </c>
      <c r="AD7" s="62" t="s">
        <v>332</v>
      </c>
      <c r="AE7" s="61" t="s">
        <v>332</v>
      </c>
      <c r="AF7" s="62" t="s">
        <v>332</v>
      </c>
      <c r="AG7" s="62" t="s">
        <v>332</v>
      </c>
      <c r="AH7" s="70" t="s">
        <v>332</v>
      </c>
      <c r="AI7" s="62" t="s">
        <v>332</v>
      </c>
      <c r="AJ7" s="62" t="s">
        <v>332</v>
      </c>
      <c r="AK7" s="62" t="s">
        <v>332</v>
      </c>
      <c r="AL7" s="62" t="s">
        <v>332</v>
      </c>
      <c r="AM7" s="61" t="s">
        <v>332</v>
      </c>
      <c r="AN7" s="62" t="s">
        <v>332</v>
      </c>
      <c r="AO7" s="62" t="s">
        <v>332</v>
      </c>
      <c r="AP7" s="70" t="s">
        <v>332</v>
      </c>
      <c r="AQ7" s="62" t="s">
        <v>332</v>
      </c>
      <c r="AR7" s="62" t="s">
        <v>332</v>
      </c>
      <c r="AS7" s="62" t="s">
        <v>332</v>
      </c>
      <c r="AT7" s="70" t="s">
        <v>332</v>
      </c>
      <c r="AU7" s="408">
        <v>45083.8</v>
      </c>
      <c r="AV7" s="408">
        <v>47295.4</v>
      </c>
      <c r="AW7" s="408">
        <v>49796.799999999996</v>
      </c>
      <c r="AX7" s="540">
        <v>51733.2</v>
      </c>
      <c r="AY7" s="541">
        <v>58546.5</v>
      </c>
      <c r="AZ7" s="408">
        <v>59693.8</v>
      </c>
      <c r="BA7" s="408">
        <v>62383.1</v>
      </c>
      <c r="BB7" s="504">
        <v>61733.299999999996</v>
      </c>
      <c r="BC7" s="408">
        <v>63155.4</v>
      </c>
      <c r="BD7" s="408">
        <v>55541.599999999999</v>
      </c>
      <c r="BE7" s="408">
        <v>57069.4</v>
      </c>
      <c r="BF7" s="408">
        <v>59222.1</v>
      </c>
    </row>
    <row r="8" spans="1:58" s="17" customFormat="1" ht="11.25">
      <c r="A8" s="26" t="s">
        <v>746</v>
      </c>
      <c r="B8" s="26" t="s">
        <v>663</v>
      </c>
      <c r="C8" s="61" t="s">
        <v>332</v>
      </c>
      <c r="D8" s="62" t="s">
        <v>332</v>
      </c>
      <c r="E8" s="62" t="s">
        <v>332</v>
      </c>
      <c r="F8" s="70" t="s">
        <v>332</v>
      </c>
      <c r="G8" s="61" t="s">
        <v>332</v>
      </c>
      <c r="H8" s="62" t="s">
        <v>332</v>
      </c>
      <c r="I8" s="62" t="s">
        <v>332</v>
      </c>
      <c r="J8" s="70" t="s">
        <v>332</v>
      </c>
      <c r="K8" s="62" t="s">
        <v>332</v>
      </c>
      <c r="L8" s="62" t="s">
        <v>332</v>
      </c>
      <c r="M8" s="62" t="s">
        <v>332</v>
      </c>
      <c r="N8" s="62" t="s">
        <v>332</v>
      </c>
      <c r="O8" s="61" t="s">
        <v>332</v>
      </c>
      <c r="P8" s="62" t="s">
        <v>332</v>
      </c>
      <c r="Q8" s="62" t="s">
        <v>332</v>
      </c>
      <c r="R8" s="70" t="s">
        <v>332</v>
      </c>
      <c r="S8" s="62" t="s">
        <v>332</v>
      </c>
      <c r="T8" s="62" t="s">
        <v>332</v>
      </c>
      <c r="U8" s="62" t="s">
        <v>332</v>
      </c>
      <c r="V8" s="62" t="s">
        <v>332</v>
      </c>
      <c r="W8" s="61" t="s">
        <v>332</v>
      </c>
      <c r="X8" s="62" t="s">
        <v>332</v>
      </c>
      <c r="Y8" s="62" t="s">
        <v>332</v>
      </c>
      <c r="Z8" s="70" t="s">
        <v>332</v>
      </c>
      <c r="AA8" s="62" t="s">
        <v>332</v>
      </c>
      <c r="AB8" s="62" t="s">
        <v>332</v>
      </c>
      <c r="AC8" s="62" t="s">
        <v>332</v>
      </c>
      <c r="AD8" s="62" t="s">
        <v>332</v>
      </c>
      <c r="AE8" s="61" t="s">
        <v>332</v>
      </c>
      <c r="AF8" s="62" t="s">
        <v>332</v>
      </c>
      <c r="AG8" s="62" t="s">
        <v>332</v>
      </c>
      <c r="AH8" s="70" t="s">
        <v>332</v>
      </c>
      <c r="AI8" s="62" t="s">
        <v>332</v>
      </c>
      <c r="AJ8" s="62" t="s">
        <v>332</v>
      </c>
      <c r="AK8" s="62" t="s">
        <v>332</v>
      </c>
      <c r="AL8" s="62" t="s">
        <v>332</v>
      </c>
      <c r="AM8" s="61" t="s">
        <v>332</v>
      </c>
      <c r="AN8" s="62" t="s">
        <v>332</v>
      </c>
      <c r="AO8" s="62" t="s">
        <v>332</v>
      </c>
      <c r="AP8" s="70" t="s">
        <v>332</v>
      </c>
      <c r="AQ8" s="62" t="s">
        <v>332</v>
      </c>
      <c r="AR8" s="62" t="s">
        <v>332</v>
      </c>
      <c r="AS8" s="62" t="s">
        <v>332</v>
      </c>
      <c r="AT8" s="70" t="s">
        <v>332</v>
      </c>
      <c r="AU8" s="408">
        <v>4904.2</v>
      </c>
      <c r="AV8" s="408">
        <v>4870.3999999999996</v>
      </c>
      <c r="AW8" s="408">
        <v>4969.8999999999996</v>
      </c>
      <c r="AX8" s="540">
        <v>5038.8999999999996</v>
      </c>
      <c r="AY8" s="541">
        <v>5856.8</v>
      </c>
      <c r="AZ8" s="408">
        <v>5248</v>
      </c>
      <c r="BA8" s="408">
        <v>4955.8</v>
      </c>
      <c r="BB8" s="504">
        <v>5261.7</v>
      </c>
      <c r="BC8" s="408">
        <v>6759.9</v>
      </c>
      <c r="BD8" s="408">
        <v>10185.700000000001</v>
      </c>
      <c r="BE8" s="408">
        <v>9792.7999999999993</v>
      </c>
      <c r="BF8" s="408">
        <v>7842.2</v>
      </c>
    </row>
    <row r="9" spans="1:58" s="17" customFormat="1" ht="11.25">
      <c r="A9" s="26" t="s">
        <v>747</v>
      </c>
      <c r="B9" s="26" t="s">
        <v>664</v>
      </c>
      <c r="C9" s="61" t="s">
        <v>332</v>
      </c>
      <c r="D9" s="62" t="s">
        <v>332</v>
      </c>
      <c r="E9" s="62" t="s">
        <v>332</v>
      </c>
      <c r="F9" s="70" t="s">
        <v>332</v>
      </c>
      <c r="G9" s="61" t="s">
        <v>332</v>
      </c>
      <c r="H9" s="62" t="s">
        <v>332</v>
      </c>
      <c r="I9" s="62" t="s">
        <v>332</v>
      </c>
      <c r="J9" s="70" t="s">
        <v>332</v>
      </c>
      <c r="K9" s="62" t="s">
        <v>332</v>
      </c>
      <c r="L9" s="62" t="s">
        <v>332</v>
      </c>
      <c r="M9" s="62" t="s">
        <v>332</v>
      </c>
      <c r="N9" s="62" t="s">
        <v>332</v>
      </c>
      <c r="O9" s="61" t="s">
        <v>332</v>
      </c>
      <c r="P9" s="62" t="s">
        <v>332</v>
      </c>
      <c r="Q9" s="62" t="s">
        <v>332</v>
      </c>
      <c r="R9" s="70" t="s">
        <v>332</v>
      </c>
      <c r="S9" s="62" t="s">
        <v>332</v>
      </c>
      <c r="T9" s="62" t="s">
        <v>332</v>
      </c>
      <c r="U9" s="62" t="s">
        <v>332</v>
      </c>
      <c r="V9" s="62" t="s">
        <v>332</v>
      </c>
      <c r="W9" s="61" t="s">
        <v>332</v>
      </c>
      <c r="X9" s="62" t="s">
        <v>332</v>
      </c>
      <c r="Y9" s="62" t="s">
        <v>332</v>
      </c>
      <c r="Z9" s="70" t="s">
        <v>332</v>
      </c>
      <c r="AA9" s="62" t="s">
        <v>332</v>
      </c>
      <c r="AB9" s="62" t="s">
        <v>332</v>
      </c>
      <c r="AC9" s="62" t="s">
        <v>332</v>
      </c>
      <c r="AD9" s="62" t="s">
        <v>332</v>
      </c>
      <c r="AE9" s="61" t="s">
        <v>332</v>
      </c>
      <c r="AF9" s="62" t="s">
        <v>332</v>
      </c>
      <c r="AG9" s="62" t="s">
        <v>332</v>
      </c>
      <c r="AH9" s="70" t="s">
        <v>332</v>
      </c>
      <c r="AI9" s="62" t="s">
        <v>332</v>
      </c>
      <c r="AJ9" s="62" t="s">
        <v>332</v>
      </c>
      <c r="AK9" s="62" t="s">
        <v>332</v>
      </c>
      <c r="AL9" s="62" t="s">
        <v>332</v>
      </c>
      <c r="AM9" s="61" t="s">
        <v>332</v>
      </c>
      <c r="AN9" s="62" t="s">
        <v>332</v>
      </c>
      <c r="AO9" s="62" t="s">
        <v>332</v>
      </c>
      <c r="AP9" s="70" t="s">
        <v>332</v>
      </c>
      <c r="AQ9" s="62" t="s">
        <v>332</v>
      </c>
      <c r="AR9" s="62" t="s">
        <v>332</v>
      </c>
      <c r="AS9" s="62" t="s">
        <v>332</v>
      </c>
      <c r="AT9" s="70" t="s">
        <v>332</v>
      </c>
      <c r="AU9" s="408">
        <v>1954.5</v>
      </c>
      <c r="AV9" s="408">
        <v>2013.4</v>
      </c>
      <c r="AW9" s="408">
        <v>2092.3000000000002</v>
      </c>
      <c r="AX9" s="540">
        <v>2091.4</v>
      </c>
      <c r="AY9" s="541">
        <v>2443.2999999999997</v>
      </c>
      <c r="AZ9" s="408">
        <v>2637.2000000000003</v>
      </c>
      <c r="BA9" s="408">
        <v>2671.6</v>
      </c>
      <c r="BB9" s="504">
        <v>2920.2000000000003</v>
      </c>
      <c r="BC9" s="408">
        <v>3012.2</v>
      </c>
      <c r="BD9" s="408">
        <v>3125.8</v>
      </c>
      <c r="BE9" s="408">
        <v>3117.9</v>
      </c>
      <c r="BF9" s="408">
        <v>3094.3</v>
      </c>
    </row>
    <row r="10" spans="1:58" s="17" customFormat="1" ht="11.25">
      <c r="A10" s="26" t="s">
        <v>886</v>
      </c>
      <c r="B10" s="26" t="s">
        <v>886</v>
      </c>
      <c r="C10" s="61"/>
      <c r="D10" s="62"/>
      <c r="E10" s="62"/>
      <c r="F10" s="70"/>
      <c r="G10" s="61" t="s">
        <v>332</v>
      </c>
      <c r="H10" s="62" t="s">
        <v>332</v>
      </c>
      <c r="I10" s="62" t="s">
        <v>332</v>
      </c>
      <c r="J10" s="70" t="s">
        <v>332</v>
      </c>
      <c r="K10" s="62" t="s">
        <v>332</v>
      </c>
      <c r="L10" s="62" t="s">
        <v>332</v>
      </c>
      <c r="M10" s="62" t="s">
        <v>332</v>
      </c>
      <c r="N10" s="62" t="s">
        <v>332</v>
      </c>
      <c r="O10" s="61" t="s">
        <v>332</v>
      </c>
      <c r="P10" s="62" t="s">
        <v>332</v>
      </c>
      <c r="Q10" s="62" t="s">
        <v>332</v>
      </c>
      <c r="R10" s="70" t="s">
        <v>332</v>
      </c>
      <c r="S10" s="62" t="s">
        <v>332</v>
      </c>
      <c r="T10" s="62" t="s">
        <v>332</v>
      </c>
      <c r="U10" s="62" t="s">
        <v>332</v>
      </c>
      <c r="V10" s="62" t="s">
        <v>332</v>
      </c>
      <c r="W10" s="61" t="s">
        <v>332</v>
      </c>
      <c r="X10" s="62" t="s">
        <v>332</v>
      </c>
      <c r="Y10" s="62" t="s">
        <v>332</v>
      </c>
      <c r="Z10" s="70" t="s">
        <v>332</v>
      </c>
      <c r="AA10" s="62" t="s">
        <v>332</v>
      </c>
      <c r="AB10" s="62" t="s">
        <v>332</v>
      </c>
      <c r="AC10" s="62" t="s">
        <v>332</v>
      </c>
      <c r="AD10" s="62" t="s">
        <v>332</v>
      </c>
      <c r="AE10" s="61" t="s">
        <v>332</v>
      </c>
      <c r="AF10" s="62" t="s">
        <v>332</v>
      </c>
      <c r="AG10" s="62" t="s">
        <v>332</v>
      </c>
      <c r="AH10" s="70" t="s">
        <v>332</v>
      </c>
      <c r="AI10" s="62" t="s">
        <v>332</v>
      </c>
      <c r="AJ10" s="62" t="s">
        <v>332</v>
      </c>
      <c r="AK10" s="62" t="s">
        <v>332</v>
      </c>
      <c r="AL10" s="62" t="s">
        <v>332</v>
      </c>
      <c r="AM10" s="61" t="s">
        <v>332</v>
      </c>
      <c r="AN10" s="62" t="s">
        <v>332</v>
      </c>
      <c r="AO10" s="62" t="s">
        <v>332</v>
      </c>
      <c r="AP10" s="70" t="s">
        <v>332</v>
      </c>
      <c r="AQ10" s="62" t="s">
        <v>332</v>
      </c>
      <c r="AR10" s="62" t="s">
        <v>332</v>
      </c>
      <c r="AS10" s="62" t="s">
        <v>332</v>
      </c>
      <c r="AT10" s="70" t="s">
        <v>332</v>
      </c>
      <c r="AU10" s="408">
        <v>0</v>
      </c>
      <c r="AV10" s="408">
        <v>0</v>
      </c>
      <c r="AW10" s="408">
        <v>0</v>
      </c>
      <c r="AX10" s="540">
        <v>0</v>
      </c>
      <c r="AY10" s="541">
        <v>0</v>
      </c>
      <c r="AZ10" s="408">
        <v>0</v>
      </c>
      <c r="BA10" s="408">
        <v>0</v>
      </c>
      <c r="BB10" s="504">
        <v>1.5</v>
      </c>
      <c r="BC10" s="408">
        <v>1.3</v>
      </c>
      <c r="BD10" s="408">
        <v>1.3</v>
      </c>
      <c r="BE10" s="408">
        <v>1</v>
      </c>
      <c r="BF10" s="408">
        <v>1.3</v>
      </c>
    </row>
    <row r="11" spans="1:58" s="17" customFormat="1" ht="11.25">
      <c r="A11" s="30" t="s">
        <v>665</v>
      </c>
      <c r="B11" s="30" t="s">
        <v>666</v>
      </c>
      <c r="C11" s="61" t="s">
        <v>332</v>
      </c>
      <c r="D11" s="62" t="s">
        <v>332</v>
      </c>
      <c r="E11" s="62" t="s">
        <v>332</v>
      </c>
      <c r="F11" s="70" t="s">
        <v>332</v>
      </c>
      <c r="G11" s="61" t="s">
        <v>332</v>
      </c>
      <c r="H11" s="62" t="s">
        <v>332</v>
      </c>
      <c r="I11" s="62" t="s">
        <v>332</v>
      </c>
      <c r="J11" s="70" t="s">
        <v>332</v>
      </c>
      <c r="K11" s="62" t="s">
        <v>332</v>
      </c>
      <c r="L11" s="62" t="s">
        <v>332</v>
      </c>
      <c r="M11" s="62" t="s">
        <v>332</v>
      </c>
      <c r="N11" s="62" t="s">
        <v>332</v>
      </c>
      <c r="O11" s="61" t="s">
        <v>332</v>
      </c>
      <c r="P11" s="62" t="s">
        <v>332</v>
      </c>
      <c r="Q11" s="62" t="s">
        <v>332</v>
      </c>
      <c r="R11" s="70" t="s">
        <v>332</v>
      </c>
      <c r="S11" s="62" t="s">
        <v>332</v>
      </c>
      <c r="T11" s="62" t="s">
        <v>332</v>
      </c>
      <c r="U11" s="62" t="s">
        <v>332</v>
      </c>
      <c r="V11" s="62" t="s">
        <v>332</v>
      </c>
      <c r="W11" s="61" t="s">
        <v>332</v>
      </c>
      <c r="X11" s="62" t="s">
        <v>332</v>
      </c>
      <c r="Y11" s="62" t="s">
        <v>332</v>
      </c>
      <c r="Z11" s="70" t="s">
        <v>332</v>
      </c>
      <c r="AA11" s="62" t="s">
        <v>332</v>
      </c>
      <c r="AB11" s="62" t="s">
        <v>332</v>
      </c>
      <c r="AC11" s="62" t="s">
        <v>332</v>
      </c>
      <c r="AD11" s="62" t="s">
        <v>332</v>
      </c>
      <c r="AE11" s="61" t="s">
        <v>332</v>
      </c>
      <c r="AF11" s="62" t="s">
        <v>332</v>
      </c>
      <c r="AG11" s="62" t="s">
        <v>332</v>
      </c>
      <c r="AH11" s="70" t="s">
        <v>332</v>
      </c>
      <c r="AI11" s="62" t="s">
        <v>332</v>
      </c>
      <c r="AJ11" s="62" t="s">
        <v>332</v>
      </c>
      <c r="AK11" s="62" t="s">
        <v>332</v>
      </c>
      <c r="AL11" s="62" t="s">
        <v>332</v>
      </c>
      <c r="AM11" s="61" t="s">
        <v>332</v>
      </c>
      <c r="AN11" s="62" t="s">
        <v>332</v>
      </c>
      <c r="AO11" s="62" t="s">
        <v>332</v>
      </c>
      <c r="AP11" s="70" t="s">
        <v>332</v>
      </c>
      <c r="AQ11" s="62" t="s">
        <v>332</v>
      </c>
      <c r="AR11" s="62" t="s">
        <v>332</v>
      </c>
      <c r="AS11" s="62" t="s">
        <v>332</v>
      </c>
      <c r="AT11" s="70" t="s">
        <v>332</v>
      </c>
      <c r="AU11" s="408">
        <f t="shared" ref="AU11:BB11" si="1">SUM(AU12:AU15)</f>
        <v>-1157.4999999999998</v>
      </c>
      <c r="AV11" s="408">
        <f t="shared" si="1"/>
        <v>-1211.5999999999999</v>
      </c>
      <c r="AW11" s="408">
        <f t="shared" si="1"/>
        <v>-1275.8</v>
      </c>
      <c r="AX11" s="540">
        <f t="shared" si="1"/>
        <v>-1261.5</v>
      </c>
      <c r="AY11" s="541">
        <f t="shared" si="1"/>
        <v>-1508.3999999999999</v>
      </c>
      <c r="AZ11" s="408">
        <f t="shared" si="1"/>
        <v>-1613.9999999999998</v>
      </c>
      <c r="BA11" s="408">
        <f t="shared" si="1"/>
        <v>-1659.6</v>
      </c>
      <c r="BB11" s="504">
        <f t="shared" si="1"/>
        <v>-1686</v>
      </c>
      <c r="BC11" s="408">
        <f>SUM(BC12:BC15)</f>
        <v>-1891.8</v>
      </c>
      <c r="BD11" s="408">
        <f>SUM(BD12:BD15)</f>
        <v>-2110.5</v>
      </c>
      <c r="BE11" s="408">
        <f>SUM(BE12:BE15)</f>
        <v>-2181.6000000000004</v>
      </c>
      <c r="BF11" s="408">
        <f>SUM(BF12:BF15)</f>
        <v>-2183.1999999999998</v>
      </c>
    </row>
    <row r="12" spans="1:58" s="17" customFormat="1" ht="11.25">
      <c r="A12" s="26" t="s">
        <v>748</v>
      </c>
      <c r="B12" s="26" t="s">
        <v>667</v>
      </c>
      <c r="C12" s="61" t="s">
        <v>332</v>
      </c>
      <c r="D12" s="62" t="s">
        <v>332</v>
      </c>
      <c r="E12" s="62" t="s">
        <v>332</v>
      </c>
      <c r="F12" s="70" t="s">
        <v>332</v>
      </c>
      <c r="G12" s="61" t="s">
        <v>332</v>
      </c>
      <c r="H12" s="62" t="s">
        <v>332</v>
      </c>
      <c r="I12" s="62" t="s">
        <v>332</v>
      </c>
      <c r="J12" s="70" t="s">
        <v>332</v>
      </c>
      <c r="K12" s="62" t="s">
        <v>332</v>
      </c>
      <c r="L12" s="62" t="s">
        <v>332</v>
      </c>
      <c r="M12" s="62" t="s">
        <v>332</v>
      </c>
      <c r="N12" s="62" t="s">
        <v>332</v>
      </c>
      <c r="O12" s="61" t="s">
        <v>332</v>
      </c>
      <c r="P12" s="62" t="s">
        <v>332</v>
      </c>
      <c r="Q12" s="62" t="s">
        <v>332</v>
      </c>
      <c r="R12" s="70" t="s">
        <v>332</v>
      </c>
      <c r="S12" s="62" t="s">
        <v>332</v>
      </c>
      <c r="T12" s="62" t="s">
        <v>332</v>
      </c>
      <c r="U12" s="62" t="s">
        <v>332</v>
      </c>
      <c r="V12" s="62" t="s">
        <v>332</v>
      </c>
      <c r="W12" s="61" t="s">
        <v>332</v>
      </c>
      <c r="X12" s="62" t="s">
        <v>332</v>
      </c>
      <c r="Y12" s="62" t="s">
        <v>332</v>
      </c>
      <c r="Z12" s="70" t="s">
        <v>332</v>
      </c>
      <c r="AA12" s="62" t="s">
        <v>332</v>
      </c>
      <c r="AB12" s="62" t="s">
        <v>332</v>
      </c>
      <c r="AC12" s="62" t="s">
        <v>332</v>
      </c>
      <c r="AD12" s="62" t="s">
        <v>332</v>
      </c>
      <c r="AE12" s="61" t="s">
        <v>332</v>
      </c>
      <c r="AF12" s="62" t="s">
        <v>332</v>
      </c>
      <c r="AG12" s="62" t="s">
        <v>332</v>
      </c>
      <c r="AH12" s="70" t="s">
        <v>332</v>
      </c>
      <c r="AI12" s="62" t="s">
        <v>332</v>
      </c>
      <c r="AJ12" s="62" t="s">
        <v>332</v>
      </c>
      <c r="AK12" s="62" t="s">
        <v>332</v>
      </c>
      <c r="AL12" s="62" t="s">
        <v>332</v>
      </c>
      <c r="AM12" s="61" t="s">
        <v>332</v>
      </c>
      <c r="AN12" s="62" t="s">
        <v>332</v>
      </c>
      <c r="AO12" s="62" t="s">
        <v>332</v>
      </c>
      <c r="AP12" s="70" t="s">
        <v>332</v>
      </c>
      <c r="AQ12" s="62" t="s">
        <v>332</v>
      </c>
      <c r="AR12" s="62" t="s">
        <v>332</v>
      </c>
      <c r="AS12" s="62" t="s">
        <v>332</v>
      </c>
      <c r="AT12" s="70" t="s">
        <v>332</v>
      </c>
      <c r="AU12" s="408">
        <v>-53.199999999999996</v>
      </c>
      <c r="AV12" s="408">
        <v>-66.400000000000006</v>
      </c>
      <c r="AW12" s="408">
        <v>-61.9</v>
      </c>
      <c r="AX12" s="540">
        <v>-56</v>
      </c>
      <c r="AY12" s="541">
        <v>-68.5</v>
      </c>
      <c r="AZ12" s="408">
        <v>-78.900000000000006</v>
      </c>
      <c r="BA12" s="408">
        <v>-67.2</v>
      </c>
      <c r="BB12" s="504">
        <v>-67</v>
      </c>
      <c r="BC12" s="408">
        <v>-125.7</v>
      </c>
      <c r="BD12" s="408">
        <v>-172.4</v>
      </c>
      <c r="BE12" s="408">
        <v>-181.9</v>
      </c>
      <c r="BF12" s="408">
        <v>-192.1</v>
      </c>
    </row>
    <row r="13" spans="1:58" s="17" customFormat="1" ht="11.25">
      <c r="A13" s="26" t="s">
        <v>749</v>
      </c>
      <c r="B13" s="26" t="s">
        <v>668</v>
      </c>
      <c r="C13" s="61" t="s">
        <v>332</v>
      </c>
      <c r="D13" s="62" t="s">
        <v>332</v>
      </c>
      <c r="E13" s="62" t="s">
        <v>332</v>
      </c>
      <c r="F13" s="70" t="s">
        <v>332</v>
      </c>
      <c r="G13" s="61" t="s">
        <v>332</v>
      </c>
      <c r="H13" s="62" t="s">
        <v>332</v>
      </c>
      <c r="I13" s="62" t="s">
        <v>332</v>
      </c>
      <c r="J13" s="70" t="s">
        <v>332</v>
      </c>
      <c r="K13" s="62" t="s">
        <v>332</v>
      </c>
      <c r="L13" s="62" t="s">
        <v>332</v>
      </c>
      <c r="M13" s="62" t="s">
        <v>332</v>
      </c>
      <c r="N13" s="62" t="s">
        <v>332</v>
      </c>
      <c r="O13" s="61" t="s">
        <v>332</v>
      </c>
      <c r="P13" s="62" t="s">
        <v>332</v>
      </c>
      <c r="Q13" s="62" t="s">
        <v>332</v>
      </c>
      <c r="R13" s="70" t="s">
        <v>332</v>
      </c>
      <c r="S13" s="62" t="s">
        <v>332</v>
      </c>
      <c r="T13" s="62" t="s">
        <v>332</v>
      </c>
      <c r="U13" s="62" t="s">
        <v>332</v>
      </c>
      <c r="V13" s="62" t="s">
        <v>332</v>
      </c>
      <c r="W13" s="61" t="s">
        <v>332</v>
      </c>
      <c r="X13" s="62" t="s">
        <v>332</v>
      </c>
      <c r="Y13" s="62" t="s">
        <v>332</v>
      </c>
      <c r="Z13" s="70" t="s">
        <v>332</v>
      </c>
      <c r="AA13" s="62" t="s">
        <v>332</v>
      </c>
      <c r="AB13" s="62" t="s">
        <v>332</v>
      </c>
      <c r="AC13" s="62" t="s">
        <v>332</v>
      </c>
      <c r="AD13" s="62" t="s">
        <v>332</v>
      </c>
      <c r="AE13" s="61" t="s">
        <v>332</v>
      </c>
      <c r="AF13" s="62" t="s">
        <v>332</v>
      </c>
      <c r="AG13" s="62" t="s">
        <v>332</v>
      </c>
      <c r="AH13" s="70" t="s">
        <v>332</v>
      </c>
      <c r="AI13" s="62" t="s">
        <v>332</v>
      </c>
      <c r="AJ13" s="62" t="s">
        <v>332</v>
      </c>
      <c r="AK13" s="62" t="s">
        <v>332</v>
      </c>
      <c r="AL13" s="62" t="s">
        <v>332</v>
      </c>
      <c r="AM13" s="61" t="s">
        <v>332</v>
      </c>
      <c r="AN13" s="62" t="s">
        <v>332</v>
      </c>
      <c r="AO13" s="62" t="s">
        <v>332</v>
      </c>
      <c r="AP13" s="70" t="s">
        <v>332</v>
      </c>
      <c r="AQ13" s="62" t="s">
        <v>332</v>
      </c>
      <c r="AR13" s="62" t="s">
        <v>332</v>
      </c>
      <c r="AS13" s="62" t="s">
        <v>332</v>
      </c>
      <c r="AT13" s="70" t="s">
        <v>332</v>
      </c>
      <c r="AU13" s="408">
        <v>-58.4</v>
      </c>
      <c r="AV13" s="408">
        <v>-69.2</v>
      </c>
      <c r="AW13" s="408">
        <v>-64.8</v>
      </c>
      <c r="AX13" s="540">
        <v>-62.8</v>
      </c>
      <c r="AY13" s="541">
        <v>-149.6</v>
      </c>
      <c r="AZ13" s="408">
        <v>-142.89999999999998</v>
      </c>
      <c r="BA13" s="408">
        <v>-148.30000000000001</v>
      </c>
      <c r="BB13" s="504">
        <v>-144.9</v>
      </c>
      <c r="BC13" s="408">
        <v>-190</v>
      </c>
      <c r="BD13" s="408">
        <v>-252.4</v>
      </c>
      <c r="BE13" s="408">
        <v>-256.8</v>
      </c>
      <c r="BF13" s="408">
        <v>-227.7</v>
      </c>
    </row>
    <row r="14" spans="1:58" s="17" customFormat="1" ht="11.25">
      <c r="A14" s="26" t="s">
        <v>750</v>
      </c>
      <c r="B14" s="26" t="s">
        <v>669</v>
      </c>
      <c r="C14" s="61" t="s">
        <v>332</v>
      </c>
      <c r="D14" s="62" t="s">
        <v>332</v>
      </c>
      <c r="E14" s="62" t="s">
        <v>332</v>
      </c>
      <c r="F14" s="70" t="s">
        <v>332</v>
      </c>
      <c r="G14" s="61" t="s">
        <v>332</v>
      </c>
      <c r="H14" s="62" t="s">
        <v>332</v>
      </c>
      <c r="I14" s="62" t="s">
        <v>332</v>
      </c>
      <c r="J14" s="70" t="s">
        <v>332</v>
      </c>
      <c r="K14" s="62" t="s">
        <v>332</v>
      </c>
      <c r="L14" s="62" t="s">
        <v>332</v>
      </c>
      <c r="M14" s="62" t="s">
        <v>332</v>
      </c>
      <c r="N14" s="62" t="s">
        <v>332</v>
      </c>
      <c r="O14" s="61" t="s">
        <v>332</v>
      </c>
      <c r="P14" s="62" t="s">
        <v>332</v>
      </c>
      <c r="Q14" s="62" t="s">
        <v>332</v>
      </c>
      <c r="R14" s="70" t="s">
        <v>332</v>
      </c>
      <c r="S14" s="62" t="s">
        <v>332</v>
      </c>
      <c r="T14" s="62" t="s">
        <v>332</v>
      </c>
      <c r="U14" s="62" t="s">
        <v>332</v>
      </c>
      <c r="V14" s="62" t="s">
        <v>332</v>
      </c>
      <c r="W14" s="61" t="s">
        <v>332</v>
      </c>
      <c r="X14" s="62" t="s">
        <v>332</v>
      </c>
      <c r="Y14" s="62" t="s">
        <v>332</v>
      </c>
      <c r="Z14" s="70" t="s">
        <v>332</v>
      </c>
      <c r="AA14" s="62" t="s">
        <v>332</v>
      </c>
      <c r="AB14" s="62" t="s">
        <v>332</v>
      </c>
      <c r="AC14" s="62" t="s">
        <v>332</v>
      </c>
      <c r="AD14" s="62" t="s">
        <v>332</v>
      </c>
      <c r="AE14" s="61" t="s">
        <v>332</v>
      </c>
      <c r="AF14" s="62" t="s">
        <v>332</v>
      </c>
      <c r="AG14" s="62" t="s">
        <v>332</v>
      </c>
      <c r="AH14" s="70" t="s">
        <v>332</v>
      </c>
      <c r="AI14" s="62" t="s">
        <v>332</v>
      </c>
      <c r="AJ14" s="62" t="s">
        <v>332</v>
      </c>
      <c r="AK14" s="62" t="s">
        <v>332</v>
      </c>
      <c r="AL14" s="62" t="s">
        <v>332</v>
      </c>
      <c r="AM14" s="61" t="s">
        <v>332</v>
      </c>
      <c r="AN14" s="62" t="s">
        <v>332</v>
      </c>
      <c r="AO14" s="62" t="s">
        <v>332</v>
      </c>
      <c r="AP14" s="70" t="s">
        <v>332</v>
      </c>
      <c r="AQ14" s="62" t="s">
        <v>332</v>
      </c>
      <c r="AR14" s="62" t="s">
        <v>332</v>
      </c>
      <c r="AS14" s="62" t="s">
        <v>332</v>
      </c>
      <c r="AT14" s="70" t="s">
        <v>332</v>
      </c>
      <c r="AU14" s="408">
        <v>-1045.8999999999999</v>
      </c>
      <c r="AV14" s="408">
        <v>-1076</v>
      </c>
      <c r="AW14" s="408">
        <v>-1149.0999999999999</v>
      </c>
      <c r="AX14" s="540">
        <v>-1142.7</v>
      </c>
      <c r="AY14" s="541">
        <v>-1290.3</v>
      </c>
      <c r="AZ14" s="408">
        <v>-1392.1999999999998</v>
      </c>
      <c r="BA14" s="408">
        <v>-1444.1</v>
      </c>
      <c r="BB14" s="504">
        <v>-1474.1</v>
      </c>
      <c r="BC14" s="408">
        <v>-1576.1</v>
      </c>
      <c r="BD14" s="408">
        <v>-1685.7</v>
      </c>
      <c r="BE14" s="408">
        <v>-1742.9</v>
      </c>
      <c r="BF14" s="408">
        <v>-1763.4</v>
      </c>
    </row>
    <row r="15" spans="1:58" s="17" customFormat="1" ht="11.25">
      <c r="A15" s="26" t="s">
        <v>886</v>
      </c>
      <c r="B15" s="26" t="s">
        <v>886</v>
      </c>
      <c r="C15" s="61"/>
      <c r="D15" s="62"/>
      <c r="E15" s="62"/>
      <c r="F15" s="70"/>
      <c r="G15" s="61" t="s">
        <v>332</v>
      </c>
      <c r="H15" s="62" t="s">
        <v>332</v>
      </c>
      <c r="I15" s="62" t="s">
        <v>332</v>
      </c>
      <c r="J15" s="70" t="s">
        <v>332</v>
      </c>
      <c r="K15" s="62" t="s">
        <v>332</v>
      </c>
      <c r="L15" s="62" t="s">
        <v>332</v>
      </c>
      <c r="M15" s="62" t="s">
        <v>332</v>
      </c>
      <c r="N15" s="62" t="s">
        <v>332</v>
      </c>
      <c r="O15" s="61" t="s">
        <v>332</v>
      </c>
      <c r="P15" s="62" t="s">
        <v>332</v>
      </c>
      <c r="Q15" s="62" t="s">
        <v>332</v>
      </c>
      <c r="R15" s="70" t="s">
        <v>332</v>
      </c>
      <c r="S15" s="62" t="s">
        <v>332</v>
      </c>
      <c r="T15" s="62" t="s">
        <v>332</v>
      </c>
      <c r="U15" s="62" t="s">
        <v>332</v>
      </c>
      <c r="V15" s="62" t="s">
        <v>332</v>
      </c>
      <c r="W15" s="61" t="s">
        <v>332</v>
      </c>
      <c r="X15" s="62" t="s">
        <v>332</v>
      </c>
      <c r="Y15" s="62" t="s">
        <v>332</v>
      </c>
      <c r="Z15" s="70" t="s">
        <v>332</v>
      </c>
      <c r="AA15" s="62" t="s">
        <v>332</v>
      </c>
      <c r="AB15" s="62" t="s">
        <v>332</v>
      </c>
      <c r="AC15" s="62" t="s">
        <v>332</v>
      </c>
      <c r="AD15" s="62" t="s">
        <v>332</v>
      </c>
      <c r="AE15" s="61" t="s">
        <v>332</v>
      </c>
      <c r="AF15" s="62" t="s">
        <v>332</v>
      </c>
      <c r="AG15" s="62" t="s">
        <v>332</v>
      </c>
      <c r="AH15" s="70" t="s">
        <v>332</v>
      </c>
      <c r="AI15" s="62" t="s">
        <v>332</v>
      </c>
      <c r="AJ15" s="62" t="s">
        <v>332</v>
      </c>
      <c r="AK15" s="62" t="s">
        <v>332</v>
      </c>
      <c r="AL15" s="62" t="s">
        <v>332</v>
      </c>
      <c r="AM15" s="61" t="s">
        <v>332</v>
      </c>
      <c r="AN15" s="62" t="s">
        <v>332</v>
      </c>
      <c r="AO15" s="62" t="s">
        <v>332</v>
      </c>
      <c r="AP15" s="70" t="s">
        <v>332</v>
      </c>
      <c r="AQ15" s="62" t="s">
        <v>332</v>
      </c>
      <c r="AR15" s="62" t="s">
        <v>332</v>
      </c>
      <c r="AS15" s="62" t="s">
        <v>332</v>
      </c>
      <c r="AT15" s="70" t="s">
        <v>332</v>
      </c>
      <c r="AU15" s="408">
        <v>0</v>
      </c>
      <c r="AV15" s="408">
        <v>0</v>
      </c>
      <c r="AW15" s="408">
        <v>0</v>
      </c>
      <c r="AX15" s="540">
        <v>0</v>
      </c>
      <c r="AY15" s="541">
        <v>0</v>
      </c>
      <c r="AZ15" s="408">
        <v>0</v>
      </c>
      <c r="BA15" s="408">
        <v>0</v>
      </c>
      <c r="BB15" s="504">
        <v>0</v>
      </c>
      <c r="BC15" s="408">
        <v>0</v>
      </c>
      <c r="BD15" s="408">
        <v>0</v>
      </c>
      <c r="BE15" s="408">
        <v>0</v>
      </c>
      <c r="BF15" s="408">
        <v>0</v>
      </c>
    </row>
    <row r="16" spans="1:58" s="17" customFormat="1" ht="11.25">
      <c r="A16" s="30" t="s">
        <v>670</v>
      </c>
      <c r="B16" s="30" t="s">
        <v>671</v>
      </c>
      <c r="C16" s="61" t="s">
        <v>332</v>
      </c>
      <c r="D16" s="62" t="s">
        <v>332</v>
      </c>
      <c r="E16" s="62" t="s">
        <v>332</v>
      </c>
      <c r="F16" s="70" t="s">
        <v>332</v>
      </c>
      <c r="G16" s="61" t="s">
        <v>332</v>
      </c>
      <c r="H16" s="62" t="s">
        <v>332</v>
      </c>
      <c r="I16" s="62" t="s">
        <v>332</v>
      </c>
      <c r="J16" s="70" t="s">
        <v>332</v>
      </c>
      <c r="K16" s="62" t="s">
        <v>332</v>
      </c>
      <c r="L16" s="62" t="s">
        <v>332</v>
      </c>
      <c r="M16" s="62" t="s">
        <v>332</v>
      </c>
      <c r="N16" s="62" t="s">
        <v>332</v>
      </c>
      <c r="O16" s="61" t="s">
        <v>332</v>
      </c>
      <c r="P16" s="62" t="s">
        <v>332</v>
      </c>
      <c r="Q16" s="62" t="s">
        <v>332</v>
      </c>
      <c r="R16" s="70" t="s">
        <v>332</v>
      </c>
      <c r="S16" s="62" t="s">
        <v>332</v>
      </c>
      <c r="T16" s="62" t="s">
        <v>332</v>
      </c>
      <c r="U16" s="62" t="s">
        <v>332</v>
      </c>
      <c r="V16" s="62" t="s">
        <v>332</v>
      </c>
      <c r="W16" s="61" t="s">
        <v>332</v>
      </c>
      <c r="X16" s="62" t="s">
        <v>332</v>
      </c>
      <c r="Y16" s="62" t="s">
        <v>332</v>
      </c>
      <c r="Z16" s="70" t="s">
        <v>332</v>
      </c>
      <c r="AA16" s="62" t="s">
        <v>332</v>
      </c>
      <c r="AB16" s="62" t="s">
        <v>332</v>
      </c>
      <c r="AC16" s="62" t="s">
        <v>332</v>
      </c>
      <c r="AD16" s="62" t="s">
        <v>332</v>
      </c>
      <c r="AE16" s="61" t="s">
        <v>332</v>
      </c>
      <c r="AF16" s="62" t="s">
        <v>332</v>
      </c>
      <c r="AG16" s="62" t="s">
        <v>332</v>
      </c>
      <c r="AH16" s="70" t="s">
        <v>332</v>
      </c>
      <c r="AI16" s="62" t="s">
        <v>332</v>
      </c>
      <c r="AJ16" s="62" t="s">
        <v>332</v>
      </c>
      <c r="AK16" s="62" t="s">
        <v>332</v>
      </c>
      <c r="AL16" s="62" t="s">
        <v>332</v>
      </c>
      <c r="AM16" s="61" t="s">
        <v>332</v>
      </c>
      <c r="AN16" s="62" t="s">
        <v>332</v>
      </c>
      <c r="AO16" s="62" t="s">
        <v>332</v>
      </c>
      <c r="AP16" s="70" t="s">
        <v>332</v>
      </c>
      <c r="AQ16" s="62" t="s">
        <v>332</v>
      </c>
      <c r="AR16" s="62" t="s">
        <v>332</v>
      </c>
      <c r="AS16" s="62" t="s">
        <v>332</v>
      </c>
      <c r="AT16" s="70" t="s">
        <v>332</v>
      </c>
      <c r="AU16" s="62">
        <f t="shared" ref="AU16:BB16" si="2">SUM(AU17:AU20)</f>
        <v>50785.000000000007</v>
      </c>
      <c r="AV16" s="62">
        <f t="shared" si="2"/>
        <v>52967.6</v>
      </c>
      <c r="AW16" s="62">
        <f t="shared" si="2"/>
        <v>55583.19999999999</v>
      </c>
      <c r="AX16" s="357">
        <f t="shared" si="2"/>
        <v>57601.999999999993</v>
      </c>
      <c r="AY16" s="358">
        <f t="shared" si="2"/>
        <v>65338.2</v>
      </c>
      <c r="AZ16" s="62">
        <f t="shared" si="2"/>
        <v>65965</v>
      </c>
      <c r="BA16" s="62">
        <f t="shared" si="2"/>
        <v>68350.899999999994</v>
      </c>
      <c r="BB16" s="70">
        <f t="shared" si="2"/>
        <v>68230.7</v>
      </c>
      <c r="BC16" s="62">
        <f>SUM(BC17:BC20)</f>
        <v>71037.000000000015</v>
      </c>
      <c r="BD16" s="62">
        <f>SUM(BD17:BD20)</f>
        <v>66743.900000000009</v>
      </c>
      <c r="BE16" s="62">
        <f>SUM(BE17:BE20)</f>
        <v>67799.5</v>
      </c>
      <c r="BF16" s="62">
        <f>SUM(BF17:BF20)</f>
        <v>67976.7</v>
      </c>
    </row>
    <row r="17" spans="1:58" s="17" customFormat="1" ht="11.25">
      <c r="A17" s="26" t="s">
        <v>745</v>
      </c>
      <c r="B17" s="26" t="s">
        <v>662</v>
      </c>
      <c r="C17" s="61" t="s">
        <v>332</v>
      </c>
      <c r="D17" s="62" t="s">
        <v>332</v>
      </c>
      <c r="E17" s="62" t="s">
        <v>332</v>
      </c>
      <c r="F17" s="70" t="s">
        <v>332</v>
      </c>
      <c r="G17" s="61" t="s">
        <v>332</v>
      </c>
      <c r="H17" s="62" t="s">
        <v>332</v>
      </c>
      <c r="I17" s="62" t="s">
        <v>332</v>
      </c>
      <c r="J17" s="70" t="s">
        <v>332</v>
      </c>
      <c r="K17" s="62" t="s">
        <v>332</v>
      </c>
      <c r="L17" s="62" t="s">
        <v>332</v>
      </c>
      <c r="M17" s="62" t="s">
        <v>332</v>
      </c>
      <c r="N17" s="62" t="s">
        <v>332</v>
      </c>
      <c r="O17" s="61" t="s">
        <v>332</v>
      </c>
      <c r="P17" s="62" t="s">
        <v>332</v>
      </c>
      <c r="Q17" s="62" t="s">
        <v>332</v>
      </c>
      <c r="R17" s="70" t="s">
        <v>332</v>
      </c>
      <c r="S17" s="62" t="s">
        <v>332</v>
      </c>
      <c r="T17" s="62" t="s">
        <v>332</v>
      </c>
      <c r="U17" s="62" t="s">
        <v>332</v>
      </c>
      <c r="V17" s="62" t="s">
        <v>332</v>
      </c>
      <c r="W17" s="61" t="s">
        <v>332</v>
      </c>
      <c r="X17" s="62" t="s">
        <v>332</v>
      </c>
      <c r="Y17" s="62" t="s">
        <v>332</v>
      </c>
      <c r="Z17" s="70" t="s">
        <v>332</v>
      </c>
      <c r="AA17" s="62" t="s">
        <v>332</v>
      </c>
      <c r="AB17" s="62" t="s">
        <v>332</v>
      </c>
      <c r="AC17" s="62" t="s">
        <v>332</v>
      </c>
      <c r="AD17" s="62" t="s">
        <v>332</v>
      </c>
      <c r="AE17" s="61" t="s">
        <v>332</v>
      </c>
      <c r="AF17" s="62" t="s">
        <v>332</v>
      </c>
      <c r="AG17" s="62" t="s">
        <v>332</v>
      </c>
      <c r="AH17" s="70" t="s">
        <v>332</v>
      </c>
      <c r="AI17" s="62" t="s">
        <v>332</v>
      </c>
      <c r="AJ17" s="62" t="s">
        <v>332</v>
      </c>
      <c r="AK17" s="62" t="s">
        <v>332</v>
      </c>
      <c r="AL17" s="62" t="s">
        <v>332</v>
      </c>
      <c r="AM17" s="61" t="s">
        <v>332</v>
      </c>
      <c r="AN17" s="62" t="s">
        <v>332</v>
      </c>
      <c r="AO17" s="62" t="s">
        <v>332</v>
      </c>
      <c r="AP17" s="70" t="s">
        <v>332</v>
      </c>
      <c r="AQ17" s="62" t="s">
        <v>332</v>
      </c>
      <c r="AR17" s="62" t="s">
        <v>332</v>
      </c>
      <c r="AS17" s="62" t="s">
        <v>332</v>
      </c>
      <c r="AT17" s="70" t="s">
        <v>332</v>
      </c>
      <c r="AU17" s="62">
        <f t="shared" ref="AU17" si="3">AU7+AU12</f>
        <v>45030.600000000006</v>
      </c>
      <c r="AV17" s="62">
        <f>AV7+AV12</f>
        <v>47229</v>
      </c>
      <c r="AW17" s="62">
        <f>AW7+AW12</f>
        <v>49734.899999999994</v>
      </c>
      <c r="AX17" s="357">
        <f>AX7+AX12</f>
        <v>51677.2</v>
      </c>
      <c r="AY17" s="358">
        <f>AY7+AY12</f>
        <v>58478</v>
      </c>
      <c r="AZ17" s="62">
        <f t="shared" ref="AZ17:BC17" si="4">AZ7+AZ12</f>
        <v>59614.9</v>
      </c>
      <c r="BA17" s="62">
        <f t="shared" si="4"/>
        <v>62315.9</v>
      </c>
      <c r="BB17" s="70">
        <f t="shared" si="4"/>
        <v>61666.299999999996</v>
      </c>
      <c r="BC17" s="62">
        <f t="shared" si="4"/>
        <v>63029.700000000004</v>
      </c>
      <c r="BD17" s="62">
        <f t="shared" ref="BD17:BE17" si="5">BD7+BD12</f>
        <v>55369.2</v>
      </c>
      <c r="BE17" s="62">
        <f t="shared" si="5"/>
        <v>56887.5</v>
      </c>
      <c r="BF17" s="62">
        <f t="shared" ref="BF17" si="6">BF7+BF12</f>
        <v>59030</v>
      </c>
    </row>
    <row r="18" spans="1:58" s="17" customFormat="1" ht="11.25">
      <c r="A18" s="26" t="s">
        <v>746</v>
      </c>
      <c r="B18" s="26" t="s">
        <v>663</v>
      </c>
      <c r="C18" s="61" t="s">
        <v>332</v>
      </c>
      <c r="D18" s="62" t="s">
        <v>332</v>
      </c>
      <c r="E18" s="62" t="s">
        <v>332</v>
      </c>
      <c r="F18" s="70" t="s">
        <v>332</v>
      </c>
      <c r="G18" s="61" t="s">
        <v>332</v>
      </c>
      <c r="H18" s="62" t="s">
        <v>332</v>
      </c>
      <c r="I18" s="62" t="s">
        <v>332</v>
      </c>
      <c r="J18" s="70" t="s">
        <v>332</v>
      </c>
      <c r="K18" s="62" t="s">
        <v>332</v>
      </c>
      <c r="L18" s="62" t="s">
        <v>332</v>
      </c>
      <c r="M18" s="62" t="s">
        <v>332</v>
      </c>
      <c r="N18" s="62" t="s">
        <v>332</v>
      </c>
      <c r="O18" s="61" t="s">
        <v>332</v>
      </c>
      <c r="P18" s="62" t="s">
        <v>332</v>
      </c>
      <c r="Q18" s="62" t="s">
        <v>332</v>
      </c>
      <c r="R18" s="70" t="s">
        <v>332</v>
      </c>
      <c r="S18" s="62" t="s">
        <v>332</v>
      </c>
      <c r="T18" s="62" t="s">
        <v>332</v>
      </c>
      <c r="U18" s="62" t="s">
        <v>332</v>
      </c>
      <c r="V18" s="62" t="s">
        <v>332</v>
      </c>
      <c r="W18" s="61" t="s">
        <v>332</v>
      </c>
      <c r="X18" s="62" t="s">
        <v>332</v>
      </c>
      <c r="Y18" s="62" t="s">
        <v>332</v>
      </c>
      <c r="Z18" s="70" t="s">
        <v>332</v>
      </c>
      <c r="AA18" s="62" t="s">
        <v>332</v>
      </c>
      <c r="AB18" s="62" t="s">
        <v>332</v>
      </c>
      <c r="AC18" s="62" t="s">
        <v>332</v>
      </c>
      <c r="AD18" s="62" t="s">
        <v>332</v>
      </c>
      <c r="AE18" s="61" t="s">
        <v>332</v>
      </c>
      <c r="AF18" s="62" t="s">
        <v>332</v>
      </c>
      <c r="AG18" s="62" t="s">
        <v>332</v>
      </c>
      <c r="AH18" s="70" t="s">
        <v>332</v>
      </c>
      <c r="AI18" s="62" t="s">
        <v>332</v>
      </c>
      <c r="AJ18" s="62" t="s">
        <v>332</v>
      </c>
      <c r="AK18" s="62" t="s">
        <v>332</v>
      </c>
      <c r="AL18" s="62" t="s">
        <v>332</v>
      </c>
      <c r="AM18" s="61" t="s">
        <v>332</v>
      </c>
      <c r="AN18" s="62" t="s">
        <v>332</v>
      </c>
      <c r="AO18" s="62" t="s">
        <v>332</v>
      </c>
      <c r="AP18" s="70" t="s">
        <v>332</v>
      </c>
      <c r="AQ18" s="62" t="s">
        <v>332</v>
      </c>
      <c r="AR18" s="62" t="s">
        <v>332</v>
      </c>
      <c r="AS18" s="62" t="s">
        <v>332</v>
      </c>
      <c r="AT18" s="70" t="s">
        <v>332</v>
      </c>
      <c r="AU18" s="62">
        <f t="shared" ref="AU18" si="7">AU8+AU13</f>
        <v>4845.8</v>
      </c>
      <c r="AV18" s="62">
        <f>AV8+AV13</f>
        <v>4801.2</v>
      </c>
      <c r="AW18" s="62">
        <f>AW8+AW13</f>
        <v>4905.0999999999995</v>
      </c>
      <c r="AX18" s="357">
        <f t="shared" ref="AX18" si="8">AX8+AX13</f>
        <v>4976.0999999999995</v>
      </c>
      <c r="AY18" s="358">
        <f>AY8+AY13</f>
        <v>5707.2</v>
      </c>
      <c r="AZ18" s="62">
        <f t="shared" ref="AZ18:BC18" si="9">AZ8+AZ13</f>
        <v>5105.1000000000004</v>
      </c>
      <c r="BA18" s="62">
        <f t="shared" si="9"/>
        <v>4807.5</v>
      </c>
      <c r="BB18" s="70">
        <f t="shared" si="9"/>
        <v>5116.8</v>
      </c>
      <c r="BC18" s="62">
        <f t="shared" si="9"/>
        <v>6569.9</v>
      </c>
      <c r="BD18" s="62">
        <f t="shared" ref="BD18:BE18" si="10">BD8+BD13</f>
        <v>9933.3000000000011</v>
      </c>
      <c r="BE18" s="62">
        <f t="shared" si="10"/>
        <v>9536</v>
      </c>
      <c r="BF18" s="62">
        <f t="shared" ref="BF18" si="11">BF8+BF13</f>
        <v>7614.5</v>
      </c>
    </row>
    <row r="19" spans="1:58" s="17" customFormat="1" ht="11.25">
      <c r="A19" s="26" t="s">
        <v>747</v>
      </c>
      <c r="B19" s="26" t="s">
        <v>664</v>
      </c>
      <c r="C19" s="61" t="s">
        <v>332</v>
      </c>
      <c r="D19" s="62" t="s">
        <v>332</v>
      </c>
      <c r="E19" s="62" t="s">
        <v>332</v>
      </c>
      <c r="F19" s="70" t="s">
        <v>332</v>
      </c>
      <c r="G19" s="61" t="s">
        <v>332</v>
      </c>
      <c r="H19" s="62" t="s">
        <v>332</v>
      </c>
      <c r="I19" s="62" t="s">
        <v>332</v>
      </c>
      <c r="J19" s="70" t="s">
        <v>332</v>
      </c>
      <c r="K19" s="62" t="s">
        <v>332</v>
      </c>
      <c r="L19" s="62" t="s">
        <v>332</v>
      </c>
      <c r="M19" s="62" t="s">
        <v>332</v>
      </c>
      <c r="N19" s="62" t="s">
        <v>332</v>
      </c>
      <c r="O19" s="61" t="s">
        <v>332</v>
      </c>
      <c r="P19" s="62" t="s">
        <v>332</v>
      </c>
      <c r="Q19" s="62" t="s">
        <v>332</v>
      </c>
      <c r="R19" s="70" t="s">
        <v>332</v>
      </c>
      <c r="S19" s="62" t="s">
        <v>332</v>
      </c>
      <c r="T19" s="62" t="s">
        <v>332</v>
      </c>
      <c r="U19" s="62" t="s">
        <v>332</v>
      </c>
      <c r="V19" s="62" t="s">
        <v>332</v>
      </c>
      <c r="W19" s="61" t="s">
        <v>332</v>
      </c>
      <c r="X19" s="62" t="s">
        <v>332</v>
      </c>
      <c r="Y19" s="62" t="s">
        <v>332</v>
      </c>
      <c r="Z19" s="70" t="s">
        <v>332</v>
      </c>
      <c r="AA19" s="62" t="s">
        <v>332</v>
      </c>
      <c r="AB19" s="62" t="s">
        <v>332</v>
      </c>
      <c r="AC19" s="62" t="s">
        <v>332</v>
      </c>
      <c r="AD19" s="62" t="s">
        <v>332</v>
      </c>
      <c r="AE19" s="61" t="s">
        <v>332</v>
      </c>
      <c r="AF19" s="62" t="s">
        <v>332</v>
      </c>
      <c r="AG19" s="62" t="s">
        <v>332</v>
      </c>
      <c r="AH19" s="70" t="s">
        <v>332</v>
      </c>
      <c r="AI19" s="62" t="s">
        <v>332</v>
      </c>
      <c r="AJ19" s="62" t="s">
        <v>332</v>
      </c>
      <c r="AK19" s="62" t="s">
        <v>332</v>
      </c>
      <c r="AL19" s="62" t="s">
        <v>332</v>
      </c>
      <c r="AM19" s="61" t="s">
        <v>332</v>
      </c>
      <c r="AN19" s="62" t="s">
        <v>332</v>
      </c>
      <c r="AO19" s="62" t="s">
        <v>332</v>
      </c>
      <c r="AP19" s="70" t="s">
        <v>332</v>
      </c>
      <c r="AQ19" s="62" t="s">
        <v>332</v>
      </c>
      <c r="AR19" s="62" t="s">
        <v>332</v>
      </c>
      <c r="AS19" s="62" t="s">
        <v>332</v>
      </c>
      <c r="AT19" s="70" t="s">
        <v>332</v>
      </c>
      <c r="AU19" s="62">
        <f t="shared" ref="AU19:BB20" si="12">AU9+AU14</f>
        <v>908.60000000000014</v>
      </c>
      <c r="AV19" s="62">
        <f>AV9+AV14</f>
        <v>937.40000000000009</v>
      </c>
      <c r="AW19" s="62">
        <f>AW9+AW14</f>
        <v>943.20000000000027</v>
      </c>
      <c r="AX19" s="357">
        <f t="shared" ref="AX19" si="13">AX9+AX14</f>
        <v>948.7</v>
      </c>
      <c r="AY19" s="358">
        <f>AY9+AY14</f>
        <v>1152.9999999999998</v>
      </c>
      <c r="AZ19" s="62">
        <f t="shared" ref="AZ19:BC20" si="14">AZ9+AZ14</f>
        <v>1245.0000000000005</v>
      </c>
      <c r="BA19" s="62">
        <f t="shared" si="14"/>
        <v>1227.5</v>
      </c>
      <c r="BB19" s="70">
        <f t="shared" si="14"/>
        <v>1446.1000000000004</v>
      </c>
      <c r="BC19" s="62">
        <f t="shared" si="14"/>
        <v>1436.1</v>
      </c>
      <c r="BD19" s="62">
        <f t="shared" ref="BD19:BE19" si="15">BD9+BD14</f>
        <v>1440.1000000000001</v>
      </c>
      <c r="BE19" s="62">
        <f t="shared" si="15"/>
        <v>1375</v>
      </c>
      <c r="BF19" s="62">
        <f t="shared" ref="BF19" si="16">BF9+BF14</f>
        <v>1330.9</v>
      </c>
    </row>
    <row r="20" spans="1:58" s="17" customFormat="1" ht="11.25">
      <c r="A20" s="26" t="s">
        <v>886</v>
      </c>
      <c r="B20" s="26" t="s">
        <v>886</v>
      </c>
      <c r="C20" s="61"/>
      <c r="D20" s="62"/>
      <c r="E20" s="62"/>
      <c r="F20" s="70"/>
      <c r="G20" s="61" t="s">
        <v>332</v>
      </c>
      <c r="H20" s="62" t="s">
        <v>332</v>
      </c>
      <c r="I20" s="62" t="s">
        <v>332</v>
      </c>
      <c r="J20" s="70" t="s">
        <v>332</v>
      </c>
      <c r="K20" s="62" t="s">
        <v>332</v>
      </c>
      <c r="L20" s="62" t="s">
        <v>332</v>
      </c>
      <c r="M20" s="62" t="s">
        <v>332</v>
      </c>
      <c r="N20" s="62" t="s">
        <v>332</v>
      </c>
      <c r="O20" s="61" t="s">
        <v>332</v>
      </c>
      <c r="P20" s="62" t="s">
        <v>332</v>
      </c>
      <c r="Q20" s="62" t="s">
        <v>332</v>
      </c>
      <c r="R20" s="70" t="s">
        <v>332</v>
      </c>
      <c r="S20" s="62" t="s">
        <v>332</v>
      </c>
      <c r="T20" s="62" t="s">
        <v>332</v>
      </c>
      <c r="U20" s="62" t="s">
        <v>332</v>
      </c>
      <c r="V20" s="62" t="s">
        <v>332</v>
      </c>
      <c r="W20" s="61" t="s">
        <v>332</v>
      </c>
      <c r="X20" s="62" t="s">
        <v>332</v>
      </c>
      <c r="Y20" s="62" t="s">
        <v>332</v>
      </c>
      <c r="Z20" s="70" t="s">
        <v>332</v>
      </c>
      <c r="AA20" s="62" t="s">
        <v>332</v>
      </c>
      <c r="AB20" s="62" t="s">
        <v>332</v>
      </c>
      <c r="AC20" s="62" t="s">
        <v>332</v>
      </c>
      <c r="AD20" s="62" t="s">
        <v>332</v>
      </c>
      <c r="AE20" s="61" t="s">
        <v>332</v>
      </c>
      <c r="AF20" s="62" t="s">
        <v>332</v>
      </c>
      <c r="AG20" s="62" t="s">
        <v>332</v>
      </c>
      <c r="AH20" s="70" t="s">
        <v>332</v>
      </c>
      <c r="AI20" s="62" t="s">
        <v>332</v>
      </c>
      <c r="AJ20" s="62" t="s">
        <v>332</v>
      </c>
      <c r="AK20" s="62" t="s">
        <v>332</v>
      </c>
      <c r="AL20" s="62" t="s">
        <v>332</v>
      </c>
      <c r="AM20" s="61" t="s">
        <v>332</v>
      </c>
      <c r="AN20" s="62" t="s">
        <v>332</v>
      </c>
      <c r="AO20" s="62" t="s">
        <v>332</v>
      </c>
      <c r="AP20" s="70" t="s">
        <v>332</v>
      </c>
      <c r="AQ20" s="62" t="s">
        <v>332</v>
      </c>
      <c r="AR20" s="62" t="s">
        <v>332</v>
      </c>
      <c r="AS20" s="62" t="s">
        <v>332</v>
      </c>
      <c r="AT20" s="70" t="s">
        <v>332</v>
      </c>
      <c r="AU20" s="62">
        <f t="shared" si="12"/>
        <v>0</v>
      </c>
      <c r="AV20" s="62">
        <f t="shared" si="12"/>
        <v>0</v>
      </c>
      <c r="AW20" s="62">
        <f t="shared" si="12"/>
        <v>0</v>
      </c>
      <c r="AX20" s="357">
        <f t="shared" si="12"/>
        <v>0</v>
      </c>
      <c r="AY20" s="358">
        <f t="shared" si="12"/>
        <v>0</v>
      </c>
      <c r="AZ20" s="62">
        <f t="shared" si="12"/>
        <v>0</v>
      </c>
      <c r="BA20" s="62">
        <f t="shared" si="12"/>
        <v>0</v>
      </c>
      <c r="BB20" s="70">
        <f t="shared" si="12"/>
        <v>1.5</v>
      </c>
      <c r="BC20" s="62">
        <f t="shared" si="14"/>
        <v>1.3</v>
      </c>
      <c r="BD20" s="62">
        <f t="shared" ref="BD20:BE20" si="17">BD10+BD15</f>
        <v>1.3</v>
      </c>
      <c r="BE20" s="62">
        <f t="shared" si="17"/>
        <v>1</v>
      </c>
      <c r="BF20" s="62">
        <f t="shared" ref="BF20" si="18">BF10+BF15</f>
        <v>1.3</v>
      </c>
    </row>
    <row r="21" spans="1:58" s="17" customFormat="1" ht="11.25">
      <c r="A21" s="257"/>
      <c r="B21" s="257"/>
      <c r="C21" s="27"/>
      <c r="D21" s="28"/>
      <c r="E21" s="28"/>
      <c r="F21" s="29"/>
      <c r="G21" s="27"/>
      <c r="H21" s="28"/>
      <c r="I21" s="28"/>
      <c r="J21" s="29"/>
      <c r="K21" s="28"/>
      <c r="L21" s="28"/>
      <c r="M21" s="28"/>
      <c r="N21" s="28"/>
      <c r="O21" s="27"/>
      <c r="P21" s="28"/>
      <c r="Q21" s="28"/>
      <c r="R21" s="29"/>
      <c r="S21" s="28"/>
      <c r="T21" s="28"/>
      <c r="U21" s="28"/>
      <c r="V21" s="28"/>
      <c r="W21" s="27"/>
      <c r="X21" s="28"/>
      <c r="Y21" s="28"/>
      <c r="Z21" s="29"/>
      <c r="AA21" s="28"/>
      <c r="AB21" s="28"/>
      <c r="AC21" s="28"/>
      <c r="AD21" s="28"/>
      <c r="AE21" s="27"/>
      <c r="AF21" s="28"/>
      <c r="AG21" s="28"/>
      <c r="AH21" s="29"/>
      <c r="AI21" s="28"/>
      <c r="AJ21" s="28"/>
      <c r="AK21" s="28"/>
      <c r="AL21" s="28"/>
      <c r="AM21" s="27"/>
      <c r="AN21" s="28"/>
      <c r="AO21" s="28"/>
      <c r="AP21" s="29"/>
      <c r="AQ21" s="28"/>
      <c r="AR21" s="28"/>
      <c r="AS21" s="28"/>
      <c r="AT21" s="29"/>
      <c r="AU21" s="62"/>
      <c r="AV21" s="62"/>
      <c r="AW21" s="62"/>
      <c r="AX21" s="357"/>
      <c r="AY21" s="358"/>
      <c r="AZ21" s="62"/>
      <c r="BA21" s="62"/>
      <c r="BB21" s="70"/>
      <c r="BC21" s="62"/>
      <c r="BD21" s="62"/>
      <c r="BE21" s="62"/>
      <c r="BF21" s="62"/>
    </row>
    <row r="22" spans="1:58" s="176" customFormat="1" ht="11.25">
      <c r="A22" s="51" t="s">
        <v>613</v>
      </c>
      <c r="B22" s="51" t="s">
        <v>103</v>
      </c>
      <c r="C22" s="37"/>
      <c r="D22" s="38"/>
      <c r="E22" s="38"/>
      <c r="F22" s="39"/>
      <c r="G22" s="37"/>
      <c r="H22" s="38"/>
      <c r="I22" s="38"/>
      <c r="J22" s="39"/>
      <c r="K22" s="38"/>
      <c r="L22" s="38"/>
      <c r="M22" s="38"/>
      <c r="N22" s="38"/>
      <c r="O22" s="37"/>
      <c r="P22" s="38"/>
      <c r="Q22" s="38"/>
      <c r="R22" s="39"/>
      <c r="S22" s="38"/>
      <c r="T22" s="38"/>
      <c r="U22" s="38"/>
      <c r="V22" s="38"/>
      <c r="W22" s="37"/>
      <c r="X22" s="38"/>
      <c r="Y22" s="38"/>
      <c r="Z22" s="39"/>
      <c r="AA22" s="38"/>
      <c r="AB22" s="38"/>
      <c r="AC22" s="38"/>
      <c r="AD22" s="38"/>
      <c r="AE22" s="37"/>
      <c r="AF22" s="38"/>
      <c r="AG22" s="38"/>
      <c r="AH22" s="39"/>
      <c r="AI22" s="38"/>
      <c r="AJ22" s="38"/>
      <c r="AK22" s="38"/>
      <c r="AL22" s="38"/>
      <c r="AM22" s="37"/>
      <c r="AN22" s="38"/>
      <c r="AO22" s="38"/>
      <c r="AP22" s="39"/>
      <c r="AQ22" s="38"/>
      <c r="AR22" s="38"/>
      <c r="AS22" s="38"/>
      <c r="AT22" s="39"/>
      <c r="AU22" s="75"/>
      <c r="AV22" s="75"/>
      <c r="AW22" s="75"/>
      <c r="AX22" s="388"/>
      <c r="AY22" s="389"/>
      <c r="AZ22" s="75"/>
      <c r="BA22" s="75"/>
      <c r="BB22" s="76"/>
      <c r="BC22" s="75"/>
      <c r="BD22" s="75"/>
      <c r="BE22" s="75"/>
      <c r="BF22" s="75"/>
    </row>
    <row r="23" spans="1:58" s="17" customFormat="1" ht="11.25">
      <c r="A23" s="30" t="s">
        <v>660</v>
      </c>
      <c r="B23" s="30" t="s">
        <v>661</v>
      </c>
      <c r="C23" s="61" t="s">
        <v>332</v>
      </c>
      <c r="D23" s="62" t="s">
        <v>332</v>
      </c>
      <c r="E23" s="62" t="s">
        <v>332</v>
      </c>
      <c r="F23" s="70" t="s">
        <v>332</v>
      </c>
      <c r="G23" s="61" t="s">
        <v>332</v>
      </c>
      <c r="H23" s="62" t="s">
        <v>332</v>
      </c>
      <c r="I23" s="62" t="s">
        <v>332</v>
      </c>
      <c r="J23" s="70" t="s">
        <v>332</v>
      </c>
      <c r="K23" s="62" t="s">
        <v>332</v>
      </c>
      <c r="L23" s="62" t="s">
        <v>332</v>
      </c>
      <c r="M23" s="62" t="s">
        <v>332</v>
      </c>
      <c r="N23" s="62" t="s">
        <v>332</v>
      </c>
      <c r="O23" s="61" t="s">
        <v>332</v>
      </c>
      <c r="P23" s="62" t="s">
        <v>332</v>
      </c>
      <c r="Q23" s="62" t="s">
        <v>332</v>
      </c>
      <c r="R23" s="70" t="s">
        <v>332</v>
      </c>
      <c r="S23" s="62" t="s">
        <v>332</v>
      </c>
      <c r="T23" s="62" t="s">
        <v>332</v>
      </c>
      <c r="U23" s="62" t="s">
        <v>332</v>
      </c>
      <c r="V23" s="62" t="s">
        <v>332</v>
      </c>
      <c r="W23" s="61" t="s">
        <v>332</v>
      </c>
      <c r="X23" s="62" t="s">
        <v>332</v>
      </c>
      <c r="Y23" s="62" t="s">
        <v>332</v>
      </c>
      <c r="Z23" s="70" t="s">
        <v>332</v>
      </c>
      <c r="AA23" s="62" t="s">
        <v>332</v>
      </c>
      <c r="AB23" s="62" t="s">
        <v>332</v>
      </c>
      <c r="AC23" s="62" t="s">
        <v>332</v>
      </c>
      <c r="AD23" s="62" t="s">
        <v>332</v>
      </c>
      <c r="AE23" s="61" t="s">
        <v>332</v>
      </c>
      <c r="AF23" s="62" t="s">
        <v>332</v>
      </c>
      <c r="AG23" s="62" t="s">
        <v>332</v>
      </c>
      <c r="AH23" s="70" t="s">
        <v>332</v>
      </c>
      <c r="AI23" s="62" t="s">
        <v>332</v>
      </c>
      <c r="AJ23" s="62" t="s">
        <v>332</v>
      </c>
      <c r="AK23" s="62" t="s">
        <v>332</v>
      </c>
      <c r="AL23" s="62" t="s">
        <v>332</v>
      </c>
      <c r="AM23" s="61" t="s">
        <v>332</v>
      </c>
      <c r="AN23" s="62" t="s">
        <v>332</v>
      </c>
      <c r="AO23" s="62" t="s">
        <v>332</v>
      </c>
      <c r="AP23" s="70" t="s">
        <v>332</v>
      </c>
      <c r="AQ23" s="62" t="s">
        <v>332</v>
      </c>
      <c r="AR23" s="62" t="s">
        <v>332</v>
      </c>
      <c r="AS23" s="62" t="s">
        <v>332</v>
      </c>
      <c r="AT23" s="70" t="s">
        <v>332</v>
      </c>
      <c r="AU23" s="408">
        <f t="shared" ref="AU23:AY23" si="19">SUM(AU24:AU26)</f>
        <v>39424.699999999997</v>
      </c>
      <c r="AV23" s="408">
        <f t="shared" si="19"/>
        <v>41723.1</v>
      </c>
      <c r="AW23" s="408">
        <f t="shared" si="19"/>
        <v>43539.8</v>
      </c>
      <c r="AX23" s="540">
        <f t="shared" si="19"/>
        <v>45363.299999999996</v>
      </c>
      <c r="AY23" s="541">
        <f t="shared" si="19"/>
        <v>41392.099999999991</v>
      </c>
      <c r="AZ23" s="408">
        <f t="shared" ref="AZ23:BC23" si="20">SUM(AZ24:AZ26)</f>
        <v>43701</v>
      </c>
      <c r="BA23" s="408">
        <f t="shared" si="20"/>
        <v>46195</v>
      </c>
      <c r="BB23" s="504">
        <f t="shared" si="20"/>
        <v>48360.299999999996</v>
      </c>
      <c r="BC23" s="408">
        <f t="shared" si="20"/>
        <v>50940.399999999994</v>
      </c>
      <c r="BD23" s="408">
        <f t="shared" ref="BD23:BE23" si="21">SUM(BD24:BD26)</f>
        <v>52606.200000000004</v>
      </c>
      <c r="BE23" s="408">
        <f t="shared" si="21"/>
        <v>53761.799999999996</v>
      </c>
      <c r="BF23" s="408">
        <f t="shared" ref="BF23" si="22">SUM(BF24:BF26)</f>
        <v>55830.299999999996</v>
      </c>
    </row>
    <row r="24" spans="1:58" s="17" customFormat="1" ht="11.25">
      <c r="A24" s="26" t="s">
        <v>745</v>
      </c>
      <c r="B24" s="26" t="s">
        <v>662</v>
      </c>
      <c r="C24" s="61" t="s">
        <v>332</v>
      </c>
      <c r="D24" s="62" t="s">
        <v>332</v>
      </c>
      <c r="E24" s="62" t="s">
        <v>332</v>
      </c>
      <c r="F24" s="70" t="s">
        <v>332</v>
      </c>
      <c r="G24" s="61" t="s">
        <v>332</v>
      </c>
      <c r="H24" s="62" t="s">
        <v>332</v>
      </c>
      <c r="I24" s="62" t="s">
        <v>332</v>
      </c>
      <c r="J24" s="70" t="s">
        <v>332</v>
      </c>
      <c r="K24" s="62" t="s">
        <v>332</v>
      </c>
      <c r="L24" s="62" t="s">
        <v>332</v>
      </c>
      <c r="M24" s="62" t="s">
        <v>332</v>
      </c>
      <c r="N24" s="62" t="s">
        <v>332</v>
      </c>
      <c r="O24" s="61" t="s">
        <v>332</v>
      </c>
      <c r="P24" s="62" t="s">
        <v>332</v>
      </c>
      <c r="Q24" s="62" t="s">
        <v>332</v>
      </c>
      <c r="R24" s="70" t="s">
        <v>332</v>
      </c>
      <c r="S24" s="62" t="s">
        <v>332</v>
      </c>
      <c r="T24" s="62" t="s">
        <v>332</v>
      </c>
      <c r="U24" s="62" t="s">
        <v>332</v>
      </c>
      <c r="V24" s="62" t="s">
        <v>332</v>
      </c>
      <c r="W24" s="61" t="s">
        <v>332</v>
      </c>
      <c r="X24" s="62" t="s">
        <v>332</v>
      </c>
      <c r="Y24" s="62" t="s">
        <v>332</v>
      </c>
      <c r="Z24" s="70" t="s">
        <v>332</v>
      </c>
      <c r="AA24" s="62" t="s">
        <v>332</v>
      </c>
      <c r="AB24" s="62" t="s">
        <v>332</v>
      </c>
      <c r="AC24" s="62" t="s">
        <v>332</v>
      </c>
      <c r="AD24" s="62" t="s">
        <v>332</v>
      </c>
      <c r="AE24" s="61" t="s">
        <v>332</v>
      </c>
      <c r="AF24" s="62" t="s">
        <v>332</v>
      </c>
      <c r="AG24" s="62" t="s">
        <v>332</v>
      </c>
      <c r="AH24" s="70" t="s">
        <v>332</v>
      </c>
      <c r="AI24" s="62" t="s">
        <v>332</v>
      </c>
      <c r="AJ24" s="62" t="s">
        <v>332</v>
      </c>
      <c r="AK24" s="62" t="s">
        <v>332</v>
      </c>
      <c r="AL24" s="62" t="s">
        <v>332</v>
      </c>
      <c r="AM24" s="61" t="s">
        <v>332</v>
      </c>
      <c r="AN24" s="62" t="s">
        <v>332</v>
      </c>
      <c r="AO24" s="62" t="s">
        <v>332</v>
      </c>
      <c r="AP24" s="70" t="s">
        <v>332</v>
      </c>
      <c r="AQ24" s="62" t="s">
        <v>332</v>
      </c>
      <c r="AR24" s="62" t="s">
        <v>332</v>
      </c>
      <c r="AS24" s="62" t="s">
        <v>332</v>
      </c>
      <c r="AT24" s="70" t="s">
        <v>332</v>
      </c>
      <c r="AU24" s="408">
        <v>33565.199999999997</v>
      </c>
      <c r="AV24" s="408">
        <v>35539.4</v>
      </c>
      <c r="AW24" s="408">
        <v>37281.199999999997</v>
      </c>
      <c r="AX24" s="540">
        <v>38633</v>
      </c>
      <c r="AY24" s="541">
        <v>35906.899999999994</v>
      </c>
      <c r="AZ24" s="408">
        <v>38003.799999999996</v>
      </c>
      <c r="BA24" s="408">
        <v>40233.4</v>
      </c>
      <c r="BB24" s="504">
        <v>44045.1</v>
      </c>
      <c r="BC24" s="408">
        <v>46334.6</v>
      </c>
      <c r="BD24" s="408">
        <v>48111.9</v>
      </c>
      <c r="BE24" s="408">
        <v>50226.6</v>
      </c>
      <c r="BF24" s="408">
        <v>52646</v>
      </c>
    </row>
    <row r="25" spans="1:58" s="17" customFormat="1" ht="11.25">
      <c r="A25" s="26" t="s">
        <v>746</v>
      </c>
      <c r="B25" s="26" t="s">
        <v>663</v>
      </c>
      <c r="C25" s="61" t="s">
        <v>332</v>
      </c>
      <c r="D25" s="62" t="s">
        <v>332</v>
      </c>
      <c r="E25" s="62" t="s">
        <v>332</v>
      </c>
      <c r="F25" s="70" t="s">
        <v>332</v>
      </c>
      <c r="G25" s="61" t="s">
        <v>332</v>
      </c>
      <c r="H25" s="62" t="s">
        <v>332</v>
      </c>
      <c r="I25" s="62" t="s">
        <v>332</v>
      </c>
      <c r="J25" s="70" t="s">
        <v>332</v>
      </c>
      <c r="K25" s="62" t="s">
        <v>332</v>
      </c>
      <c r="L25" s="62" t="s">
        <v>332</v>
      </c>
      <c r="M25" s="62" t="s">
        <v>332</v>
      </c>
      <c r="N25" s="62" t="s">
        <v>332</v>
      </c>
      <c r="O25" s="61" t="s">
        <v>332</v>
      </c>
      <c r="P25" s="62" t="s">
        <v>332</v>
      </c>
      <c r="Q25" s="62" t="s">
        <v>332</v>
      </c>
      <c r="R25" s="70" t="s">
        <v>332</v>
      </c>
      <c r="S25" s="62" t="s">
        <v>332</v>
      </c>
      <c r="T25" s="62" t="s">
        <v>332</v>
      </c>
      <c r="U25" s="62" t="s">
        <v>332</v>
      </c>
      <c r="V25" s="62" t="s">
        <v>332</v>
      </c>
      <c r="W25" s="61" t="s">
        <v>332</v>
      </c>
      <c r="X25" s="62" t="s">
        <v>332</v>
      </c>
      <c r="Y25" s="62" t="s">
        <v>332</v>
      </c>
      <c r="Z25" s="70" t="s">
        <v>332</v>
      </c>
      <c r="AA25" s="62" t="s">
        <v>332</v>
      </c>
      <c r="AB25" s="62" t="s">
        <v>332</v>
      </c>
      <c r="AC25" s="62" t="s">
        <v>332</v>
      </c>
      <c r="AD25" s="62" t="s">
        <v>332</v>
      </c>
      <c r="AE25" s="61" t="s">
        <v>332</v>
      </c>
      <c r="AF25" s="62" t="s">
        <v>332</v>
      </c>
      <c r="AG25" s="62" t="s">
        <v>332</v>
      </c>
      <c r="AH25" s="70" t="s">
        <v>332</v>
      </c>
      <c r="AI25" s="62" t="s">
        <v>332</v>
      </c>
      <c r="AJ25" s="62" t="s">
        <v>332</v>
      </c>
      <c r="AK25" s="62" t="s">
        <v>332</v>
      </c>
      <c r="AL25" s="62" t="s">
        <v>332</v>
      </c>
      <c r="AM25" s="61" t="s">
        <v>332</v>
      </c>
      <c r="AN25" s="62" t="s">
        <v>332</v>
      </c>
      <c r="AO25" s="62" t="s">
        <v>332</v>
      </c>
      <c r="AP25" s="70" t="s">
        <v>332</v>
      </c>
      <c r="AQ25" s="62" t="s">
        <v>332</v>
      </c>
      <c r="AR25" s="62" t="s">
        <v>332</v>
      </c>
      <c r="AS25" s="62" t="s">
        <v>332</v>
      </c>
      <c r="AT25" s="70" t="s">
        <v>332</v>
      </c>
      <c r="AU25" s="408">
        <v>5072.8999999999996</v>
      </c>
      <c r="AV25" s="408">
        <v>5324.2</v>
      </c>
      <c r="AW25" s="408">
        <v>5505.3</v>
      </c>
      <c r="AX25" s="540">
        <v>5916.7000000000007</v>
      </c>
      <c r="AY25" s="541">
        <v>4858</v>
      </c>
      <c r="AZ25" s="408">
        <v>5023.7000000000007</v>
      </c>
      <c r="BA25" s="408">
        <v>5228.5999999999995</v>
      </c>
      <c r="BB25" s="504">
        <v>3706.6000000000004</v>
      </c>
      <c r="BC25" s="408">
        <v>3915.1</v>
      </c>
      <c r="BD25" s="408">
        <v>3709.2999999999997</v>
      </c>
      <c r="BE25" s="408">
        <v>2647.2</v>
      </c>
      <c r="BF25" s="408">
        <v>2129.6</v>
      </c>
    </row>
    <row r="26" spans="1:58" s="17" customFormat="1" ht="11.25">
      <c r="A26" s="26" t="s">
        <v>747</v>
      </c>
      <c r="B26" s="26" t="s">
        <v>664</v>
      </c>
      <c r="C26" s="61" t="s">
        <v>332</v>
      </c>
      <c r="D26" s="62" t="s">
        <v>332</v>
      </c>
      <c r="E26" s="62" t="s">
        <v>332</v>
      </c>
      <c r="F26" s="70" t="s">
        <v>332</v>
      </c>
      <c r="G26" s="61" t="s">
        <v>332</v>
      </c>
      <c r="H26" s="62" t="s">
        <v>332</v>
      </c>
      <c r="I26" s="62" t="s">
        <v>332</v>
      </c>
      <c r="J26" s="70" t="s">
        <v>332</v>
      </c>
      <c r="K26" s="62" t="s">
        <v>332</v>
      </c>
      <c r="L26" s="62" t="s">
        <v>332</v>
      </c>
      <c r="M26" s="62" t="s">
        <v>332</v>
      </c>
      <c r="N26" s="62" t="s">
        <v>332</v>
      </c>
      <c r="O26" s="61" t="s">
        <v>332</v>
      </c>
      <c r="P26" s="62" t="s">
        <v>332</v>
      </c>
      <c r="Q26" s="62" t="s">
        <v>332</v>
      </c>
      <c r="R26" s="70" t="s">
        <v>332</v>
      </c>
      <c r="S26" s="62" t="s">
        <v>332</v>
      </c>
      <c r="T26" s="62" t="s">
        <v>332</v>
      </c>
      <c r="U26" s="62" t="s">
        <v>332</v>
      </c>
      <c r="V26" s="62" t="s">
        <v>332</v>
      </c>
      <c r="W26" s="61" t="s">
        <v>332</v>
      </c>
      <c r="X26" s="62" t="s">
        <v>332</v>
      </c>
      <c r="Y26" s="62" t="s">
        <v>332</v>
      </c>
      <c r="Z26" s="70" t="s">
        <v>332</v>
      </c>
      <c r="AA26" s="62" t="s">
        <v>332</v>
      </c>
      <c r="AB26" s="62" t="s">
        <v>332</v>
      </c>
      <c r="AC26" s="62" t="s">
        <v>332</v>
      </c>
      <c r="AD26" s="62" t="s">
        <v>332</v>
      </c>
      <c r="AE26" s="61" t="s">
        <v>332</v>
      </c>
      <c r="AF26" s="62" t="s">
        <v>332</v>
      </c>
      <c r="AG26" s="62" t="s">
        <v>332</v>
      </c>
      <c r="AH26" s="70" t="s">
        <v>332</v>
      </c>
      <c r="AI26" s="62" t="s">
        <v>332</v>
      </c>
      <c r="AJ26" s="62" t="s">
        <v>332</v>
      </c>
      <c r="AK26" s="62" t="s">
        <v>332</v>
      </c>
      <c r="AL26" s="62" t="s">
        <v>332</v>
      </c>
      <c r="AM26" s="61" t="s">
        <v>332</v>
      </c>
      <c r="AN26" s="62" t="s">
        <v>332</v>
      </c>
      <c r="AO26" s="62" t="s">
        <v>332</v>
      </c>
      <c r="AP26" s="70" t="s">
        <v>332</v>
      </c>
      <c r="AQ26" s="62" t="s">
        <v>332</v>
      </c>
      <c r="AR26" s="62" t="s">
        <v>332</v>
      </c>
      <c r="AS26" s="62" t="s">
        <v>332</v>
      </c>
      <c r="AT26" s="70" t="s">
        <v>332</v>
      </c>
      <c r="AU26" s="408">
        <v>786.6</v>
      </c>
      <c r="AV26" s="408">
        <v>859.5</v>
      </c>
      <c r="AW26" s="408">
        <v>753.3</v>
      </c>
      <c r="AX26" s="540">
        <v>813.6</v>
      </c>
      <c r="AY26" s="541">
        <v>627.19999999999993</v>
      </c>
      <c r="AZ26" s="408">
        <v>673.5</v>
      </c>
      <c r="BA26" s="408">
        <v>733.00000000000011</v>
      </c>
      <c r="BB26" s="504">
        <v>608.6</v>
      </c>
      <c r="BC26" s="408">
        <v>690.7</v>
      </c>
      <c r="BD26" s="408">
        <v>785</v>
      </c>
      <c r="BE26" s="408">
        <v>888</v>
      </c>
      <c r="BF26" s="408">
        <v>1054.7</v>
      </c>
    </row>
    <row r="27" spans="1:58" s="17" customFormat="1" ht="11.25">
      <c r="A27" s="26" t="s">
        <v>886</v>
      </c>
      <c r="B27" s="26" t="s">
        <v>886</v>
      </c>
      <c r="C27" s="61"/>
      <c r="D27" s="62"/>
      <c r="E27" s="62"/>
      <c r="F27" s="70"/>
      <c r="G27" s="61" t="s">
        <v>332</v>
      </c>
      <c r="H27" s="62" t="s">
        <v>332</v>
      </c>
      <c r="I27" s="62" t="s">
        <v>332</v>
      </c>
      <c r="J27" s="70" t="s">
        <v>332</v>
      </c>
      <c r="K27" s="62" t="s">
        <v>332</v>
      </c>
      <c r="L27" s="62" t="s">
        <v>332</v>
      </c>
      <c r="M27" s="62" t="s">
        <v>332</v>
      </c>
      <c r="N27" s="62" t="s">
        <v>332</v>
      </c>
      <c r="O27" s="61" t="s">
        <v>332</v>
      </c>
      <c r="P27" s="62" t="s">
        <v>332</v>
      </c>
      <c r="Q27" s="62" t="s">
        <v>332</v>
      </c>
      <c r="R27" s="70" t="s">
        <v>332</v>
      </c>
      <c r="S27" s="62" t="s">
        <v>332</v>
      </c>
      <c r="T27" s="62" t="s">
        <v>332</v>
      </c>
      <c r="U27" s="62" t="s">
        <v>332</v>
      </c>
      <c r="V27" s="62" t="s">
        <v>332</v>
      </c>
      <c r="W27" s="61" t="s">
        <v>332</v>
      </c>
      <c r="X27" s="62" t="s">
        <v>332</v>
      </c>
      <c r="Y27" s="62" t="s">
        <v>332</v>
      </c>
      <c r="Z27" s="70" t="s">
        <v>332</v>
      </c>
      <c r="AA27" s="62" t="s">
        <v>332</v>
      </c>
      <c r="AB27" s="62" t="s">
        <v>332</v>
      </c>
      <c r="AC27" s="62" t="s">
        <v>332</v>
      </c>
      <c r="AD27" s="62" t="s">
        <v>332</v>
      </c>
      <c r="AE27" s="61" t="s">
        <v>332</v>
      </c>
      <c r="AF27" s="62" t="s">
        <v>332</v>
      </c>
      <c r="AG27" s="62" t="s">
        <v>332</v>
      </c>
      <c r="AH27" s="70" t="s">
        <v>332</v>
      </c>
      <c r="AI27" s="62" t="s">
        <v>332</v>
      </c>
      <c r="AJ27" s="62" t="s">
        <v>332</v>
      </c>
      <c r="AK27" s="62" t="s">
        <v>332</v>
      </c>
      <c r="AL27" s="62" t="s">
        <v>332</v>
      </c>
      <c r="AM27" s="61" t="s">
        <v>332</v>
      </c>
      <c r="AN27" s="62" t="s">
        <v>332</v>
      </c>
      <c r="AO27" s="62" t="s">
        <v>332</v>
      </c>
      <c r="AP27" s="70" t="s">
        <v>332</v>
      </c>
      <c r="AQ27" s="62" t="s">
        <v>332</v>
      </c>
      <c r="AR27" s="62" t="s">
        <v>332</v>
      </c>
      <c r="AS27" s="62" t="s">
        <v>332</v>
      </c>
      <c r="AT27" s="70" t="s">
        <v>332</v>
      </c>
      <c r="AU27" s="408">
        <v>0</v>
      </c>
      <c r="AV27" s="408">
        <v>0</v>
      </c>
      <c r="AW27" s="408">
        <v>0</v>
      </c>
      <c r="AX27" s="540">
        <v>0</v>
      </c>
      <c r="AY27" s="541">
        <v>0</v>
      </c>
      <c r="AZ27" s="408">
        <v>0</v>
      </c>
      <c r="BA27" s="408">
        <v>0</v>
      </c>
      <c r="BB27" s="504">
        <v>0</v>
      </c>
      <c r="BC27" s="408">
        <v>0</v>
      </c>
      <c r="BD27" s="408">
        <v>2.6</v>
      </c>
      <c r="BE27" s="408">
        <v>2.2999999999999998</v>
      </c>
      <c r="BF27" s="408">
        <v>2.2000000000000002</v>
      </c>
    </row>
    <row r="28" spans="1:58" s="17" customFormat="1" ht="11.25">
      <c r="A28" s="30" t="s">
        <v>665</v>
      </c>
      <c r="B28" s="30" t="s">
        <v>666</v>
      </c>
      <c r="C28" s="61" t="s">
        <v>332</v>
      </c>
      <c r="D28" s="62" t="s">
        <v>332</v>
      </c>
      <c r="E28" s="62" t="s">
        <v>332</v>
      </c>
      <c r="F28" s="70" t="s">
        <v>332</v>
      </c>
      <c r="G28" s="61" t="s">
        <v>332</v>
      </c>
      <c r="H28" s="62" t="s">
        <v>332</v>
      </c>
      <c r="I28" s="62" t="s">
        <v>332</v>
      </c>
      <c r="J28" s="70" t="s">
        <v>332</v>
      </c>
      <c r="K28" s="62" t="s">
        <v>332</v>
      </c>
      <c r="L28" s="62" t="s">
        <v>332</v>
      </c>
      <c r="M28" s="62" t="s">
        <v>332</v>
      </c>
      <c r="N28" s="62" t="s">
        <v>332</v>
      </c>
      <c r="O28" s="61" t="s">
        <v>332</v>
      </c>
      <c r="P28" s="62" t="s">
        <v>332</v>
      </c>
      <c r="Q28" s="62" t="s">
        <v>332</v>
      </c>
      <c r="R28" s="70" t="s">
        <v>332</v>
      </c>
      <c r="S28" s="62" t="s">
        <v>332</v>
      </c>
      <c r="T28" s="62" t="s">
        <v>332</v>
      </c>
      <c r="U28" s="62" t="s">
        <v>332</v>
      </c>
      <c r="V28" s="62" t="s">
        <v>332</v>
      </c>
      <c r="W28" s="61" t="s">
        <v>332</v>
      </c>
      <c r="X28" s="62" t="s">
        <v>332</v>
      </c>
      <c r="Y28" s="62" t="s">
        <v>332</v>
      </c>
      <c r="Z28" s="70" t="s">
        <v>332</v>
      </c>
      <c r="AA28" s="62" t="s">
        <v>332</v>
      </c>
      <c r="AB28" s="62" t="s">
        <v>332</v>
      </c>
      <c r="AC28" s="62" t="s">
        <v>332</v>
      </c>
      <c r="AD28" s="62" t="s">
        <v>332</v>
      </c>
      <c r="AE28" s="61" t="s">
        <v>332</v>
      </c>
      <c r="AF28" s="62" t="s">
        <v>332</v>
      </c>
      <c r="AG28" s="62" t="s">
        <v>332</v>
      </c>
      <c r="AH28" s="70" t="s">
        <v>332</v>
      </c>
      <c r="AI28" s="62" t="s">
        <v>332</v>
      </c>
      <c r="AJ28" s="62" t="s">
        <v>332</v>
      </c>
      <c r="AK28" s="62" t="s">
        <v>332</v>
      </c>
      <c r="AL28" s="62" t="s">
        <v>332</v>
      </c>
      <c r="AM28" s="61" t="s">
        <v>332</v>
      </c>
      <c r="AN28" s="62" t="s">
        <v>332</v>
      </c>
      <c r="AO28" s="62" t="s">
        <v>332</v>
      </c>
      <c r="AP28" s="70" t="s">
        <v>332</v>
      </c>
      <c r="AQ28" s="62" t="s">
        <v>332</v>
      </c>
      <c r="AR28" s="62" t="s">
        <v>332</v>
      </c>
      <c r="AS28" s="62" t="s">
        <v>332</v>
      </c>
      <c r="AT28" s="70" t="s">
        <v>332</v>
      </c>
      <c r="AU28" s="408">
        <f>SUM(AU29:AU31)</f>
        <v>-928.7</v>
      </c>
      <c r="AV28" s="408">
        <f t="shared" ref="AV28:AX28" si="23">SUM(AV29:AV31)</f>
        <v>-1024.3999999999999</v>
      </c>
      <c r="AW28" s="408">
        <f t="shared" si="23"/>
        <v>-928.1</v>
      </c>
      <c r="AX28" s="540">
        <f t="shared" si="23"/>
        <v>-1008.5</v>
      </c>
      <c r="AY28" s="541">
        <f>SUM(AY29:AY31)</f>
        <v>-775.99999999999989</v>
      </c>
      <c r="AZ28" s="408">
        <f t="shared" ref="AZ28:BC28" si="24">SUM(AZ29:AZ31)</f>
        <v>-808.8</v>
      </c>
      <c r="BA28" s="408">
        <f t="shared" si="24"/>
        <v>-875.30000000000018</v>
      </c>
      <c r="BB28" s="504">
        <f t="shared" si="24"/>
        <v>-760</v>
      </c>
      <c r="BC28" s="408">
        <f t="shared" si="24"/>
        <v>-874.4</v>
      </c>
      <c r="BD28" s="408">
        <f t="shared" ref="BD28:BE28" si="25">SUM(BD29:BD31)</f>
        <v>-937.5</v>
      </c>
      <c r="BE28" s="408">
        <f t="shared" si="25"/>
        <v>-1004.1</v>
      </c>
      <c r="BF28" s="408">
        <f t="shared" ref="BF28" si="26">SUM(BF29:BF31)</f>
        <v>-1087.0999999999999</v>
      </c>
    </row>
    <row r="29" spans="1:58" s="17" customFormat="1" ht="11.25">
      <c r="A29" s="26" t="s">
        <v>748</v>
      </c>
      <c r="B29" s="26" t="s">
        <v>667</v>
      </c>
      <c r="C29" s="61" t="s">
        <v>332</v>
      </c>
      <c r="D29" s="62" t="s">
        <v>332</v>
      </c>
      <c r="E29" s="62" t="s">
        <v>332</v>
      </c>
      <c r="F29" s="70" t="s">
        <v>332</v>
      </c>
      <c r="G29" s="61" t="s">
        <v>332</v>
      </c>
      <c r="H29" s="62" t="s">
        <v>332</v>
      </c>
      <c r="I29" s="62" t="s">
        <v>332</v>
      </c>
      <c r="J29" s="70" t="s">
        <v>332</v>
      </c>
      <c r="K29" s="62" t="s">
        <v>332</v>
      </c>
      <c r="L29" s="62" t="s">
        <v>332</v>
      </c>
      <c r="M29" s="62" t="s">
        <v>332</v>
      </c>
      <c r="N29" s="62" t="s">
        <v>332</v>
      </c>
      <c r="O29" s="61" t="s">
        <v>332</v>
      </c>
      <c r="P29" s="62" t="s">
        <v>332</v>
      </c>
      <c r="Q29" s="62" t="s">
        <v>332</v>
      </c>
      <c r="R29" s="70" t="s">
        <v>332</v>
      </c>
      <c r="S29" s="62" t="s">
        <v>332</v>
      </c>
      <c r="T29" s="62" t="s">
        <v>332</v>
      </c>
      <c r="U29" s="62" t="s">
        <v>332</v>
      </c>
      <c r="V29" s="62" t="s">
        <v>332</v>
      </c>
      <c r="W29" s="61" t="s">
        <v>332</v>
      </c>
      <c r="X29" s="62" t="s">
        <v>332</v>
      </c>
      <c r="Y29" s="62" t="s">
        <v>332</v>
      </c>
      <c r="Z29" s="70" t="s">
        <v>332</v>
      </c>
      <c r="AA29" s="62" t="s">
        <v>332</v>
      </c>
      <c r="AB29" s="62" t="s">
        <v>332</v>
      </c>
      <c r="AC29" s="62" t="s">
        <v>332</v>
      </c>
      <c r="AD29" s="62" t="s">
        <v>332</v>
      </c>
      <c r="AE29" s="61" t="s">
        <v>332</v>
      </c>
      <c r="AF29" s="62" t="s">
        <v>332</v>
      </c>
      <c r="AG29" s="62" t="s">
        <v>332</v>
      </c>
      <c r="AH29" s="70" t="s">
        <v>332</v>
      </c>
      <c r="AI29" s="62" t="s">
        <v>332</v>
      </c>
      <c r="AJ29" s="62" t="s">
        <v>332</v>
      </c>
      <c r="AK29" s="62" t="s">
        <v>332</v>
      </c>
      <c r="AL29" s="62" t="s">
        <v>332</v>
      </c>
      <c r="AM29" s="61" t="s">
        <v>332</v>
      </c>
      <c r="AN29" s="62" t="s">
        <v>332</v>
      </c>
      <c r="AO29" s="62" t="s">
        <v>332</v>
      </c>
      <c r="AP29" s="70" t="s">
        <v>332</v>
      </c>
      <c r="AQ29" s="62" t="s">
        <v>332</v>
      </c>
      <c r="AR29" s="62" t="s">
        <v>332</v>
      </c>
      <c r="AS29" s="62" t="s">
        <v>332</v>
      </c>
      <c r="AT29" s="70" t="s">
        <v>332</v>
      </c>
      <c r="AU29" s="408">
        <v>-57.4</v>
      </c>
      <c r="AV29" s="408">
        <v>-67.7</v>
      </c>
      <c r="AW29" s="408">
        <v>-65.100000000000009</v>
      </c>
      <c r="AX29" s="540">
        <v>-58.2</v>
      </c>
      <c r="AY29" s="541">
        <v>-49.8</v>
      </c>
      <c r="AZ29" s="408">
        <v>-52.400000000000006</v>
      </c>
      <c r="BA29" s="408">
        <v>-56.5</v>
      </c>
      <c r="BB29" s="504">
        <v>-56.2</v>
      </c>
      <c r="BC29" s="408">
        <v>-64.3</v>
      </c>
      <c r="BD29" s="408">
        <v>-79.5</v>
      </c>
      <c r="BE29" s="408">
        <v>-120.4</v>
      </c>
      <c r="BF29" s="408">
        <v>-150.19999999999999</v>
      </c>
    </row>
    <row r="30" spans="1:58" s="17" customFormat="1" ht="11.25">
      <c r="A30" s="26" t="s">
        <v>749</v>
      </c>
      <c r="B30" s="26" t="s">
        <v>668</v>
      </c>
      <c r="C30" s="61" t="s">
        <v>332</v>
      </c>
      <c r="D30" s="62" t="s">
        <v>332</v>
      </c>
      <c r="E30" s="62" t="s">
        <v>332</v>
      </c>
      <c r="F30" s="70" t="s">
        <v>332</v>
      </c>
      <c r="G30" s="61" t="s">
        <v>332</v>
      </c>
      <c r="H30" s="62" t="s">
        <v>332</v>
      </c>
      <c r="I30" s="62" t="s">
        <v>332</v>
      </c>
      <c r="J30" s="70" t="s">
        <v>332</v>
      </c>
      <c r="K30" s="62" t="s">
        <v>332</v>
      </c>
      <c r="L30" s="62" t="s">
        <v>332</v>
      </c>
      <c r="M30" s="62" t="s">
        <v>332</v>
      </c>
      <c r="N30" s="62" t="s">
        <v>332</v>
      </c>
      <c r="O30" s="61" t="s">
        <v>332</v>
      </c>
      <c r="P30" s="62" t="s">
        <v>332</v>
      </c>
      <c r="Q30" s="62" t="s">
        <v>332</v>
      </c>
      <c r="R30" s="70" t="s">
        <v>332</v>
      </c>
      <c r="S30" s="62" t="s">
        <v>332</v>
      </c>
      <c r="T30" s="62" t="s">
        <v>332</v>
      </c>
      <c r="U30" s="62" t="s">
        <v>332</v>
      </c>
      <c r="V30" s="62" t="s">
        <v>332</v>
      </c>
      <c r="W30" s="61" t="s">
        <v>332</v>
      </c>
      <c r="X30" s="62" t="s">
        <v>332</v>
      </c>
      <c r="Y30" s="62" t="s">
        <v>332</v>
      </c>
      <c r="Z30" s="70" t="s">
        <v>332</v>
      </c>
      <c r="AA30" s="62" t="s">
        <v>332</v>
      </c>
      <c r="AB30" s="62" t="s">
        <v>332</v>
      </c>
      <c r="AC30" s="62" t="s">
        <v>332</v>
      </c>
      <c r="AD30" s="62" t="s">
        <v>332</v>
      </c>
      <c r="AE30" s="61" t="s">
        <v>332</v>
      </c>
      <c r="AF30" s="62" t="s">
        <v>332</v>
      </c>
      <c r="AG30" s="62" t="s">
        <v>332</v>
      </c>
      <c r="AH30" s="70" t="s">
        <v>332</v>
      </c>
      <c r="AI30" s="62" t="s">
        <v>332</v>
      </c>
      <c r="AJ30" s="62" t="s">
        <v>332</v>
      </c>
      <c r="AK30" s="62" t="s">
        <v>332</v>
      </c>
      <c r="AL30" s="62" t="s">
        <v>332</v>
      </c>
      <c r="AM30" s="61" t="s">
        <v>332</v>
      </c>
      <c r="AN30" s="62" t="s">
        <v>332</v>
      </c>
      <c r="AO30" s="62" t="s">
        <v>332</v>
      </c>
      <c r="AP30" s="70" t="s">
        <v>332</v>
      </c>
      <c r="AQ30" s="62" t="s">
        <v>332</v>
      </c>
      <c r="AR30" s="62" t="s">
        <v>332</v>
      </c>
      <c r="AS30" s="62" t="s">
        <v>332</v>
      </c>
      <c r="AT30" s="70" t="s">
        <v>332</v>
      </c>
      <c r="AU30" s="408">
        <v>-285.10000000000002</v>
      </c>
      <c r="AV30" s="408">
        <v>-314.39999999999998</v>
      </c>
      <c r="AW30" s="408">
        <v>-331.4</v>
      </c>
      <c r="AX30" s="540">
        <v>-362</v>
      </c>
      <c r="AY30" s="541">
        <v>-257.29999999999995</v>
      </c>
      <c r="AZ30" s="408">
        <v>-252.29999999999998</v>
      </c>
      <c r="BA30" s="408">
        <v>-260.2</v>
      </c>
      <c r="BB30" s="504">
        <v>-268.90000000000003</v>
      </c>
      <c r="BC30" s="408">
        <v>-297.8</v>
      </c>
      <c r="BD30" s="408">
        <v>-279.5</v>
      </c>
      <c r="BE30" s="408">
        <v>-228.8</v>
      </c>
      <c r="BF30" s="408">
        <v>-181.8</v>
      </c>
    </row>
    <row r="31" spans="1:58" s="17" customFormat="1" ht="11.25">
      <c r="A31" s="26" t="s">
        <v>750</v>
      </c>
      <c r="B31" s="26" t="s">
        <v>669</v>
      </c>
      <c r="C31" s="61" t="s">
        <v>332</v>
      </c>
      <c r="D31" s="62" t="s">
        <v>332</v>
      </c>
      <c r="E31" s="62" t="s">
        <v>332</v>
      </c>
      <c r="F31" s="70" t="s">
        <v>332</v>
      </c>
      <c r="G31" s="61" t="s">
        <v>332</v>
      </c>
      <c r="H31" s="62" t="s">
        <v>332</v>
      </c>
      <c r="I31" s="62" t="s">
        <v>332</v>
      </c>
      <c r="J31" s="70" t="s">
        <v>332</v>
      </c>
      <c r="K31" s="62" t="s">
        <v>332</v>
      </c>
      <c r="L31" s="62" t="s">
        <v>332</v>
      </c>
      <c r="M31" s="62" t="s">
        <v>332</v>
      </c>
      <c r="N31" s="62" t="s">
        <v>332</v>
      </c>
      <c r="O31" s="61" t="s">
        <v>332</v>
      </c>
      <c r="P31" s="62" t="s">
        <v>332</v>
      </c>
      <c r="Q31" s="62" t="s">
        <v>332</v>
      </c>
      <c r="R31" s="70" t="s">
        <v>332</v>
      </c>
      <c r="S31" s="62" t="s">
        <v>332</v>
      </c>
      <c r="T31" s="62" t="s">
        <v>332</v>
      </c>
      <c r="U31" s="62" t="s">
        <v>332</v>
      </c>
      <c r="V31" s="62" t="s">
        <v>332</v>
      </c>
      <c r="W31" s="61" t="s">
        <v>332</v>
      </c>
      <c r="X31" s="62" t="s">
        <v>332</v>
      </c>
      <c r="Y31" s="62" t="s">
        <v>332</v>
      </c>
      <c r="Z31" s="70" t="s">
        <v>332</v>
      </c>
      <c r="AA31" s="62" t="s">
        <v>332</v>
      </c>
      <c r="AB31" s="62" t="s">
        <v>332</v>
      </c>
      <c r="AC31" s="62" t="s">
        <v>332</v>
      </c>
      <c r="AD31" s="62" t="s">
        <v>332</v>
      </c>
      <c r="AE31" s="61" t="s">
        <v>332</v>
      </c>
      <c r="AF31" s="62" t="s">
        <v>332</v>
      </c>
      <c r="AG31" s="62" t="s">
        <v>332</v>
      </c>
      <c r="AH31" s="70" t="s">
        <v>332</v>
      </c>
      <c r="AI31" s="62" t="s">
        <v>332</v>
      </c>
      <c r="AJ31" s="62" t="s">
        <v>332</v>
      </c>
      <c r="AK31" s="62" t="s">
        <v>332</v>
      </c>
      <c r="AL31" s="62" t="s">
        <v>332</v>
      </c>
      <c r="AM31" s="61" t="s">
        <v>332</v>
      </c>
      <c r="AN31" s="62" t="s">
        <v>332</v>
      </c>
      <c r="AO31" s="62" t="s">
        <v>332</v>
      </c>
      <c r="AP31" s="70" t="s">
        <v>332</v>
      </c>
      <c r="AQ31" s="62" t="s">
        <v>332</v>
      </c>
      <c r="AR31" s="62" t="s">
        <v>332</v>
      </c>
      <c r="AS31" s="62" t="s">
        <v>332</v>
      </c>
      <c r="AT31" s="70" t="s">
        <v>332</v>
      </c>
      <c r="AU31" s="408">
        <v>-586.20000000000005</v>
      </c>
      <c r="AV31" s="408">
        <v>-642.29999999999995</v>
      </c>
      <c r="AW31" s="408">
        <v>-531.6</v>
      </c>
      <c r="AX31" s="540">
        <v>-588.29999999999995</v>
      </c>
      <c r="AY31" s="541">
        <v>-468.89999999999992</v>
      </c>
      <c r="AZ31" s="408">
        <v>-504.09999999999991</v>
      </c>
      <c r="BA31" s="408">
        <v>-558.60000000000014</v>
      </c>
      <c r="BB31" s="504">
        <v>-434.9</v>
      </c>
      <c r="BC31" s="408">
        <v>-512.29999999999995</v>
      </c>
      <c r="BD31" s="408">
        <v>-578.5</v>
      </c>
      <c r="BE31" s="408">
        <v>-654.9</v>
      </c>
      <c r="BF31" s="408">
        <v>-755.1</v>
      </c>
    </row>
    <row r="32" spans="1:58" s="17" customFormat="1" ht="11.25">
      <c r="A32" s="26" t="s">
        <v>886</v>
      </c>
      <c r="B32" s="26" t="s">
        <v>886</v>
      </c>
      <c r="C32" s="61"/>
      <c r="D32" s="62"/>
      <c r="E32" s="62"/>
      <c r="F32" s="70"/>
      <c r="G32" s="61" t="s">
        <v>332</v>
      </c>
      <c r="H32" s="62" t="s">
        <v>332</v>
      </c>
      <c r="I32" s="62" t="s">
        <v>332</v>
      </c>
      <c r="J32" s="70" t="s">
        <v>332</v>
      </c>
      <c r="K32" s="62" t="s">
        <v>332</v>
      </c>
      <c r="L32" s="62" t="s">
        <v>332</v>
      </c>
      <c r="M32" s="62" t="s">
        <v>332</v>
      </c>
      <c r="N32" s="62" t="s">
        <v>332</v>
      </c>
      <c r="O32" s="61" t="s">
        <v>332</v>
      </c>
      <c r="P32" s="62" t="s">
        <v>332</v>
      </c>
      <c r="Q32" s="62" t="s">
        <v>332</v>
      </c>
      <c r="R32" s="70" t="s">
        <v>332</v>
      </c>
      <c r="S32" s="62" t="s">
        <v>332</v>
      </c>
      <c r="T32" s="62" t="s">
        <v>332</v>
      </c>
      <c r="U32" s="62" t="s">
        <v>332</v>
      </c>
      <c r="V32" s="62" t="s">
        <v>332</v>
      </c>
      <c r="W32" s="61" t="s">
        <v>332</v>
      </c>
      <c r="X32" s="62" t="s">
        <v>332</v>
      </c>
      <c r="Y32" s="62" t="s">
        <v>332</v>
      </c>
      <c r="Z32" s="70" t="s">
        <v>332</v>
      </c>
      <c r="AA32" s="62" t="s">
        <v>332</v>
      </c>
      <c r="AB32" s="62" t="s">
        <v>332</v>
      </c>
      <c r="AC32" s="62" t="s">
        <v>332</v>
      </c>
      <c r="AD32" s="62" t="s">
        <v>332</v>
      </c>
      <c r="AE32" s="61" t="s">
        <v>332</v>
      </c>
      <c r="AF32" s="62" t="s">
        <v>332</v>
      </c>
      <c r="AG32" s="62" t="s">
        <v>332</v>
      </c>
      <c r="AH32" s="70" t="s">
        <v>332</v>
      </c>
      <c r="AI32" s="62" t="s">
        <v>332</v>
      </c>
      <c r="AJ32" s="62" t="s">
        <v>332</v>
      </c>
      <c r="AK32" s="62" t="s">
        <v>332</v>
      </c>
      <c r="AL32" s="62" t="s">
        <v>332</v>
      </c>
      <c r="AM32" s="61" t="s">
        <v>332</v>
      </c>
      <c r="AN32" s="62" t="s">
        <v>332</v>
      </c>
      <c r="AO32" s="62" t="s">
        <v>332</v>
      </c>
      <c r="AP32" s="70" t="s">
        <v>332</v>
      </c>
      <c r="AQ32" s="62" t="s">
        <v>332</v>
      </c>
      <c r="AR32" s="62" t="s">
        <v>332</v>
      </c>
      <c r="AS32" s="62" t="s">
        <v>332</v>
      </c>
      <c r="AT32" s="70" t="s">
        <v>332</v>
      </c>
      <c r="AU32" s="408">
        <v>0</v>
      </c>
      <c r="AV32" s="408">
        <v>0</v>
      </c>
      <c r="AW32" s="408">
        <v>0</v>
      </c>
      <c r="AX32" s="540">
        <v>0</v>
      </c>
      <c r="AY32" s="541">
        <v>0</v>
      </c>
      <c r="AZ32" s="408">
        <v>0</v>
      </c>
      <c r="BA32" s="408">
        <v>0</v>
      </c>
      <c r="BB32" s="504">
        <v>0</v>
      </c>
      <c r="BC32" s="408">
        <v>0</v>
      </c>
      <c r="BD32" s="408">
        <v>0</v>
      </c>
      <c r="BE32" s="408">
        <v>0</v>
      </c>
      <c r="BF32" s="408">
        <v>0</v>
      </c>
    </row>
    <row r="33" spans="1:58" s="17" customFormat="1" ht="11.25">
      <c r="A33" s="30" t="s">
        <v>670</v>
      </c>
      <c r="B33" s="30" t="s">
        <v>671</v>
      </c>
      <c r="C33" s="61" t="s">
        <v>332</v>
      </c>
      <c r="D33" s="62" t="s">
        <v>332</v>
      </c>
      <c r="E33" s="62" t="s">
        <v>332</v>
      </c>
      <c r="F33" s="70" t="s">
        <v>332</v>
      </c>
      <c r="G33" s="61" t="s">
        <v>332</v>
      </c>
      <c r="H33" s="62" t="s">
        <v>332</v>
      </c>
      <c r="I33" s="62" t="s">
        <v>332</v>
      </c>
      <c r="J33" s="70" t="s">
        <v>332</v>
      </c>
      <c r="K33" s="62" t="s">
        <v>332</v>
      </c>
      <c r="L33" s="62" t="s">
        <v>332</v>
      </c>
      <c r="M33" s="62" t="s">
        <v>332</v>
      </c>
      <c r="N33" s="62" t="s">
        <v>332</v>
      </c>
      <c r="O33" s="61" t="s">
        <v>332</v>
      </c>
      <c r="P33" s="62" t="s">
        <v>332</v>
      </c>
      <c r="Q33" s="62" t="s">
        <v>332</v>
      </c>
      <c r="R33" s="70" t="s">
        <v>332</v>
      </c>
      <c r="S33" s="62" t="s">
        <v>332</v>
      </c>
      <c r="T33" s="62" t="s">
        <v>332</v>
      </c>
      <c r="U33" s="62" t="s">
        <v>332</v>
      </c>
      <c r="V33" s="62" t="s">
        <v>332</v>
      </c>
      <c r="W33" s="61" t="s">
        <v>332</v>
      </c>
      <c r="X33" s="62" t="s">
        <v>332</v>
      </c>
      <c r="Y33" s="62" t="s">
        <v>332</v>
      </c>
      <c r="Z33" s="70" t="s">
        <v>332</v>
      </c>
      <c r="AA33" s="62" t="s">
        <v>332</v>
      </c>
      <c r="AB33" s="62" t="s">
        <v>332</v>
      </c>
      <c r="AC33" s="62" t="s">
        <v>332</v>
      </c>
      <c r="AD33" s="62" t="s">
        <v>332</v>
      </c>
      <c r="AE33" s="61" t="s">
        <v>332</v>
      </c>
      <c r="AF33" s="62" t="s">
        <v>332</v>
      </c>
      <c r="AG33" s="62" t="s">
        <v>332</v>
      </c>
      <c r="AH33" s="70" t="s">
        <v>332</v>
      </c>
      <c r="AI33" s="62" t="s">
        <v>332</v>
      </c>
      <c r="AJ33" s="62" t="s">
        <v>332</v>
      </c>
      <c r="AK33" s="62" t="s">
        <v>332</v>
      </c>
      <c r="AL33" s="62" t="s">
        <v>332</v>
      </c>
      <c r="AM33" s="61" t="s">
        <v>332</v>
      </c>
      <c r="AN33" s="62" t="s">
        <v>332</v>
      </c>
      <c r="AO33" s="62" t="s">
        <v>332</v>
      </c>
      <c r="AP33" s="70" t="s">
        <v>332</v>
      </c>
      <c r="AQ33" s="62" t="s">
        <v>332</v>
      </c>
      <c r="AR33" s="62" t="s">
        <v>332</v>
      </c>
      <c r="AS33" s="62" t="s">
        <v>332</v>
      </c>
      <c r="AT33" s="70" t="s">
        <v>332</v>
      </c>
      <c r="AU33" s="62">
        <f t="shared" ref="AU33" si="27">SUM(AU34:AU37)</f>
        <v>38495.999999999993</v>
      </c>
      <c r="AV33" s="62">
        <f t="shared" ref="AV33" si="28">SUM(AV34:AV37)</f>
        <v>40698.700000000004</v>
      </c>
      <c r="AW33" s="62">
        <f t="shared" ref="AW33" si="29">SUM(AW34:AW37)</f>
        <v>42611.7</v>
      </c>
      <c r="AX33" s="357">
        <f t="shared" ref="AX33" si="30">SUM(AX34:AX37)</f>
        <v>44354.8</v>
      </c>
      <c r="AY33" s="358">
        <f t="shared" ref="AY33" si="31">SUM(AY34:AY37)</f>
        <v>40616.099999999991</v>
      </c>
      <c r="AZ33" s="62">
        <f t="shared" ref="AZ33" si="32">SUM(AZ34:AZ37)</f>
        <v>42892.2</v>
      </c>
      <c r="BA33" s="62">
        <f t="shared" ref="BA33" si="33">SUM(BA34:BA37)</f>
        <v>45319.700000000004</v>
      </c>
      <c r="BB33" s="70">
        <f t="shared" ref="BB33" si="34">SUM(BB34:BB37)</f>
        <v>47600.299999999996</v>
      </c>
      <c r="BC33" s="62">
        <f>SUM(BC34:BC37)</f>
        <v>50066</v>
      </c>
      <c r="BD33" s="62">
        <f>SUM(BD34:BD37)</f>
        <v>51671.3</v>
      </c>
      <c r="BE33" s="62">
        <f>SUM(BE34:BE37)</f>
        <v>52760</v>
      </c>
      <c r="BF33" s="62">
        <f>SUM(BF34:BF37)</f>
        <v>54745.4</v>
      </c>
    </row>
    <row r="34" spans="1:58" s="17" customFormat="1" ht="11.25">
      <c r="A34" s="26" t="s">
        <v>745</v>
      </c>
      <c r="B34" s="26" t="s">
        <v>662</v>
      </c>
      <c r="C34" s="61" t="s">
        <v>332</v>
      </c>
      <c r="D34" s="62" t="s">
        <v>332</v>
      </c>
      <c r="E34" s="62" t="s">
        <v>332</v>
      </c>
      <c r="F34" s="70" t="s">
        <v>332</v>
      </c>
      <c r="G34" s="61" t="s">
        <v>332</v>
      </c>
      <c r="H34" s="62" t="s">
        <v>332</v>
      </c>
      <c r="I34" s="62" t="s">
        <v>332</v>
      </c>
      <c r="J34" s="70" t="s">
        <v>332</v>
      </c>
      <c r="K34" s="62" t="s">
        <v>332</v>
      </c>
      <c r="L34" s="62" t="s">
        <v>332</v>
      </c>
      <c r="M34" s="62" t="s">
        <v>332</v>
      </c>
      <c r="N34" s="62" t="s">
        <v>332</v>
      </c>
      <c r="O34" s="61" t="s">
        <v>332</v>
      </c>
      <c r="P34" s="62" t="s">
        <v>332</v>
      </c>
      <c r="Q34" s="62" t="s">
        <v>332</v>
      </c>
      <c r="R34" s="70" t="s">
        <v>332</v>
      </c>
      <c r="S34" s="62" t="s">
        <v>332</v>
      </c>
      <c r="T34" s="62" t="s">
        <v>332</v>
      </c>
      <c r="U34" s="62" t="s">
        <v>332</v>
      </c>
      <c r="V34" s="62" t="s">
        <v>332</v>
      </c>
      <c r="W34" s="61" t="s">
        <v>332</v>
      </c>
      <c r="X34" s="62" t="s">
        <v>332</v>
      </c>
      <c r="Y34" s="62" t="s">
        <v>332</v>
      </c>
      <c r="Z34" s="70" t="s">
        <v>332</v>
      </c>
      <c r="AA34" s="62" t="s">
        <v>332</v>
      </c>
      <c r="AB34" s="62" t="s">
        <v>332</v>
      </c>
      <c r="AC34" s="62" t="s">
        <v>332</v>
      </c>
      <c r="AD34" s="62" t="s">
        <v>332</v>
      </c>
      <c r="AE34" s="61" t="s">
        <v>332</v>
      </c>
      <c r="AF34" s="62" t="s">
        <v>332</v>
      </c>
      <c r="AG34" s="62" t="s">
        <v>332</v>
      </c>
      <c r="AH34" s="70" t="s">
        <v>332</v>
      </c>
      <c r="AI34" s="62" t="s">
        <v>332</v>
      </c>
      <c r="AJ34" s="62" t="s">
        <v>332</v>
      </c>
      <c r="AK34" s="62" t="s">
        <v>332</v>
      </c>
      <c r="AL34" s="62" t="s">
        <v>332</v>
      </c>
      <c r="AM34" s="61" t="s">
        <v>332</v>
      </c>
      <c r="AN34" s="62" t="s">
        <v>332</v>
      </c>
      <c r="AO34" s="62" t="s">
        <v>332</v>
      </c>
      <c r="AP34" s="70" t="s">
        <v>332</v>
      </c>
      <c r="AQ34" s="62" t="s">
        <v>332</v>
      </c>
      <c r="AR34" s="62" t="s">
        <v>332</v>
      </c>
      <c r="AS34" s="62" t="s">
        <v>332</v>
      </c>
      <c r="AT34" s="70" t="s">
        <v>332</v>
      </c>
      <c r="AU34" s="62">
        <f t="shared" ref="AU34:AU35" si="35">AU24+AU29</f>
        <v>33507.799999999996</v>
      </c>
      <c r="AV34" s="62">
        <f>AV24+AV29</f>
        <v>35471.700000000004</v>
      </c>
      <c r="AW34" s="62">
        <f>AW24+AW29</f>
        <v>37216.1</v>
      </c>
      <c r="AX34" s="357">
        <f>AX24+AX29</f>
        <v>38574.800000000003</v>
      </c>
      <c r="AY34" s="358">
        <f>AY24+AY29</f>
        <v>35857.099999999991</v>
      </c>
      <c r="AZ34" s="62">
        <f t="shared" ref="AZ34:BC34" si="36">AZ24+AZ29</f>
        <v>37951.399999999994</v>
      </c>
      <c r="BA34" s="62">
        <f t="shared" si="36"/>
        <v>40176.9</v>
      </c>
      <c r="BB34" s="70">
        <f t="shared" si="36"/>
        <v>43988.9</v>
      </c>
      <c r="BC34" s="62">
        <f t="shared" si="36"/>
        <v>46270.299999999996</v>
      </c>
      <c r="BD34" s="62">
        <f t="shared" ref="BD34:BE34" si="37">BD24+BD29</f>
        <v>48032.4</v>
      </c>
      <c r="BE34" s="62">
        <f t="shared" si="37"/>
        <v>50106.2</v>
      </c>
      <c r="BF34" s="62">
        <f t="shared" ref="BF34" si="38">BF24+BF29</f>
        <v>52495.8</v>
      </c>
    </row>
    <row r="35" spans="1:58" s="17" customFormat="1" ht="11.25">
      <c r="A35" s="26" t="s">
        <v>746</v>
      </c>
      <c r="B35" s="26" t="s">
        <v>663</v>
      </c>
      <c r="C35" s="61" t="s">
        <v>332</v>
      </c>
      <c r="D35" s="62" t="s">
        <v>332</v>
      </c>
      <c r="E35" s="62" t="s">
        <v>332</v>
      </c>
      <c r="F35" s="70" t="s">
        <v>332</v>
      </c>
      <c r="G35" s="61" t="s">
        <v>332</v>
      </c>
      <c r="H35" s="62" t="s">
        <v>332</v>
      </c>
      <c r="I35" s="62" t="s">
        <v>332</v>
      </c>
      <c r="J35" s="70" t="s">
        <v>332</v>
      </c>
      <c r="K35" s="62" t="s">
        <v>332</v>
      </c>
      <c r="L35" s="62" t="s">
        <v>332</v>
      </c>
      <c r="M35" s="62" t="s">
        <v>332</v>
      </c>
      <c r="N35" s="62" t="s">
        <v>332</v>
      </c>
      <c r="O35" s="61" t="s">
        <v>332</v>
      </c>
      <c r="P35" s="62" t="s">
        <v>332</v>
      </c>
      <c r="Q35" s="62" t="s">
        <v>332</v>
      </c>
      <c r="R35" s="70" t="s">
        <v>332</v>
      </c>
      <c r="S35" s="62" t="s">
        <v>332</v>
      </c>
      <c r="T35" s="62" t="s">
        <v>332</v>
      </c>
      <c r="U35" s="62" t="s">
        <v>332</v>
      </c>
      <c r="V35" s="62" t="s">
        <v>332</v>
      </c>
      <c r="W35" s="61" t="s">
        <v>332</v>
      </c>
      <c r="X35" s="62" t="s">
        <v>332</v>
      </c>
      <c r="Y35" s="62" t="s">
        <v>332</v>
      </c>
      <c r="Z35" s="70" t="s">
        <v>332</v>
      </c>
      <c r="AA35" s="62" t="s">
        <v>332</v>
      </c>
      <c r="AB35" s="62" t="s">
        <v>332</v>
      </c>
      <c r="AC35" s="62" t="s">
        <v>332</v>
      </c>
      <c r="AD35" s="62" t="s">
        <v>332</v>
      </c>
      <c r="AE35" s="61" t="s">
        <v>332</v>
      </c>
      <c r="AF35" s="62" t="s">
        <v>332</v>
      </c>
      <c r="AG35" s="62" t="s">
        <v>332</v>
      </c>
      <c r="AH35" s="70" t="s">
        <v>332</v>
      </c>
      <c r="AI35" s="62" t="s">
        <v>332</v>
      </c>
      <c r="AJ35" s="62" t="s">
        <v>332</v>
      </c>
      <c r="AK35" s="62" t="s">
        <v>332</v>
      </c>
      <c r="AL35" s="62" t="s">
        <v>332</v>
      </c>
      <c r="AM35" s="61" t="s">
        <v>332</v>
      </c>
      <c r="AN35" s="62" t="s">
        <v>332</v>
      </c>
      <c r="AO35" s="62" t="s">
        <v>332</v>
      </c>
      <c r="AP35" s="70" t="s">
        <v>332</v>
      </c>
      <c r="AQ35" s="62" t="s">
        <v>332</v>
      </c>
      <c r="AR35" s="62" t="s">
        <v>332</v>
      </c>
      <c r="AS35" s="62" t="s">
        <v>332</v>
      </c>
      <c r="AT35" s="70" t="s">
        <v>332</v>
      </c>
      <c r="AU35" s="62">
        <f t="shared" si="35"/>
        <v>4787.7999999999993</v>
      </c>
      <c r="AV35" s="62">
        <f>AV25+AV30</f>
        <v>5009.8</v>
      </c>
      <c r="AW35" s="62">
        <f>AW25+AW30</f>
        <v>5173.9000000000005</v>
      </c>
      <c r="AX35" s="357">
        <f t="shared" ref="AX35:AX36" si="39">AX25+AX30</f>
        <v>5554.7000000000007</v>
      </c>
      <c r="AY35" s="358">
        <f>AY25+AY30</f>
        <v>4600.7</v>
      </c>
      <c r="AZ35" s="62">
        <f t="shared" ref="AZ35:BC35" si="40">AZ25+AZ30</f>
        <v>4771.4000000000005</v>
      </c>
      <c r="BA35" s="62">
        <f t="shared" si="40"/>
        <v>4968.3999999999996</v>
      </c>
      <c r="BB35" s="70">
        <f t="shared" si="40"/>
        <v>3437.7000000000003</v>
      </c>
      <c r="BC35" s="62">
        <f t="shared" si="40"/>
        <v>3617.2999999999997</v>
      </c>
      <c r="BD35" s="62">
        <f t="shared" ref="BD35:BE35" si="41">BD25+BD30</f>
        <v>3429.7999999999997</v>
      </c>
      <c r="BE35" s="62">
        <f t="shared" si="41"/>
        <v>2418.3999999999996</v>
      </c>
      <c r="BF35" s="62">
        <f t="shared" ref="BF35" si="42">BF25+BF30</f>
        <v>1947.8</v>
      </c>
    </row>
    <row r="36" spans="1:58" s="17" customFormat="1" ht="11.25">
      <c r="A36" s="26" t="s">
        <v>747</v>
      </c>
      <c r="B36" s="26" t="s">
        <v>664</v>
      </c>
      <c r="C36" s="61" t="s">
        <v>332</v>
      </c>
      <c r="D36" s="62" t="s">
        <v>332</v>
      </c>
      <c r="E36" s="62" t="s">
        <v>332</v>
      </c>
      <c r="F36" s="70" t="s">
        <v>332</v>
      </c>
      <c r="G36" s="61" t="s">
        <v>332</v>
      </c>
      <c r="H36" s="62" t="s">
        <v>332</v>
      </c>
      <c r="I36" s="62" t="s">
        <v>332</v>
      </c>
      <c r="J36" s="70" t="s">
        <v>332</v>
      </c>
      <c r="K36" s="62" t="s">
        <v>332</v>
      </c>
      <c r="L36" s="62" t="s">
        <v>332</v>
      </c>
      <c r="M36" s="62" t="s">
        <v>332</v>
      </c>
      <c r="N36" s="62" t="s">
        <v>332</v>
      </c>
      <c r="O36" s="61" t="s">
        <v>332</v>
      </c>
      <c r="P36" s="62" t="s">
        <v>332</v>
      </c>
      <c r="Q36" s="62" t="s">
        <v>332</v>
      </c>
      <c r="R36" s="70" t="s">
        <v>332</v>
      </c>
      <c r="S36" s="62" t="s">
        <v>332</v>
      </c>
      <c r="T36" s="62" t="s">
        <v>332</v>
      </c>
      <c r="U36" s="62" t="s">
        <v>332</v>
      </c>
      <c r="V36" s="62" t="s">
        <v>332</v>
      </c>
      <c r="W36" s="61" t="s">
        <v>332</v>
      </c>
      <c r="X36" s="62" t="s">
        <v>332</v>
      </c>
      <c r="Y36" s="62" t="s">
        <v>332</v>
      </c>
      <c r="Z36" s="70" t="s">
        <v>332</v>
      </c>
      <c r="AA36" s="62" t="s">
        <v>332</v>
      </c>
      <c r="AB36" s="62" t="s">
        <v>332</v>
      </c>
      <c r="AC36" s="62" t="s">
        <v>332</v>
      </c>
      <c r="AD36" s="62" t="s">
        <v>332</v>
      </c>
      <c r="AE36" s="61" t="s">
        <v>332</v>
      </c>
      <c r="AF36" s="62" t="s">
        <v>332</v>
      </c>
      <c r="AG36" s="62" t="s">
        <v>332</v>
      </c>
      <c r="AH36" s="70" t="s">
        <v>332</v>
      </c>
      <c r="AI36" s="62" t="s">
        <v>332</v>
      </c>
      <c r="AJ36" s="62" t="s">
        <v>332</v>
      </c>
      <c r="AK36" s="62" t="s">
        <v>332</v>
      </c>
      <c r="AL36" s="62" t="s">
        <v>332</v>
      </c>
      <c r="AM36" s="61" t="s">
        <v>332</v>
      </c>
      <c r="AN36" s="62" t="s">
        <v>332</v>
      </c>
      <c r="AO36" s="62" t="s">
        <v>332</v>
      </c>
      <c r="AP36" s="70" t="s">
        <v>332</v>
      </c>
      <c r="AQ36" s="62" t="s">
        <v>332</v>
      </c>
      <c r="AR36" s="62" t="s">
        <v>332</v>
      </c>
      <c r="AS36" s="62" t="s">
        <v>332</v>
      </c>
      <c r="AT36" s="70" t="s">
        <v>332</v>
      </c>
      <c r="AU36" s="62">
        <f t="shared" ref="AU36" si="43">AU26+AU31</f>
        <v>200.39999999999998</v>
      </c>
      <c r="AV36" s="62">
        <f>AV26+AV31</f>
        <v>217.20000000000005</v>
      </c>
      <c r="AW36" s="62">
        <f>AW26+AW31</f>
        <v>221.69999999999993</v>
      </c>
      <c r="AX36" s="357">
        <f t="shared" si="39"/>
        <v>225.30000000000007</v>
      </c>
      <c r="AY36" s="358">
        <f>AY26+AY31</f>
        <v>158.30000000000001</v>
      </c>
      <c r="AZ36" s="62">
        <f t="shared" ref="AZ36:BC36" si="44">AZ26+AZ31</f>
        <v>169.40000000000009</v>
      </c>
      <c r="BA36" s="62">
        <f t="shared" si="44"/>
        <v>174.39999999999998</v>
      </c>
      <c r="BB36" s="70">
        <f t="shared" si="44"/>
        <v>173.70000000000005</v>
      </c>
      <c r="BC36" s="62">
        <f t="shared" si="44"/>
        <v>178.40000000000009</v>
      </c>
      <c r="BD36" s="62">
        <f t="shared" ref="BD36:BE36" si="45">BD26+BD31</f>
        <v>206.5</v>
      </c>
      <c r="BE36" s="62">
        <f t="shared" si="45"/>
        <v>233.10000000000002</v>
      </c>
      <c r="BF36" s="62">
        <f t="shared" ref="BF36" si="46">BF26+BF31</f>
        <v>299.60000000000002</v>
      </c>
    </row>
    <row r="37" spans="1:58" s="17" customFormat="1" ht="11.25">
      <c r="A37" s="26" t="s">
        <v>886</v>
      </c>
      <c r="B37" s="26" t="s">
        <v>886</v>
      </c>
      <c r="C37" s="61"/>
      <c r="D37" s="62"/>
      <c r="E37" s="62"/>
      <c r="F37" s="70"/>
      <c r="G37" s="61" t="s">
        <v>332</v>
      </c>
      <c r="H37" s="62" t="s">
        <v>332</v>
      </c>
      <c r="I37" s="62" t="s">
        <v>332</v>
      </c>
      <c r="J37" s="70" t="s">
        <v>332</v>
      </c>
      <c r="K37" s="62" t="s">
        <v>332</v>
      </c>
      <c r="L37" s="62" t="s">
        <v>332</v>
      </c>
      <c r="M37" s="62" t="s">
        <v>332</v>
      </c>
      <c r="N37" s="62" t="s">
        <v>332</v>
      </c>
      <c r="O37" s="61" t="s">
        <v>332</v>
      </c>
      <c r="P37" s="62" t="s">
        <v>332</v>
      </c>
      <c r="Q37" s="62" t="s">
        <v>332</v>
      </c>
      <c r="R37" s="70" t="s">
        <v>332</v>
      </c>
      <c r="S37" s="62" t="s">
        <v>332</v>
      </c>
      <c r="T37" s="62" t="s">
        <v>332</v>
      </c>
      <c r="U37" s="62" t="s">
        <v>332</v>
      </c>
      <c r="V37" s="62" t="s">
        <v>332</v>
      </c>
      <c r="W37" s="61" t="s">
        <v>332</v>
      </c>
      <c r="X37" s="62" t="s">
        <v>332</v>
      </c>
      <c r="Y37" s="62" t="s">
        <v>332</v>
      </c>
      <c r="Z37" s="70" t="s">
        <v>332</v>
      </c>
      <c r="AA37" s="62" t="s">
        <v>332</v>
      </c>
      <c r="AB37" s="62" t="s">
        <v>332</v>
      </c>
      <c r="AC37" s="62" t="s">
        <v>332</v>
      </c>
      <c r="AD37" s="62" t="s">
        <v>332</v>
      </c>
      <c r="AE37" s="61" t="s">
        <v>332</v>
      </c>
      <c r="AF37" s="62" t="s">
        <v>332</v>
      </c>
      <c r="AG37" s="62" t="s">
        <v>332</v>
      </c>
      <c r="AH37" s="70" t="s">
        <v>332</v>
      </c>
      <c r="AI37" s="62" t="s">
        <v>332</v>
      </c>
      <c r="AJ37" s="62" t="s">
        <v>332</v>
      </c>
      <c r="AK37" s="62" t="s">
        <v>332</v>
      </c>
      <c r="AL37" s="62" t="s">
        <v>332</v>
      </c>
      <c r="AM37" s="61" t="s">
        <v>332</v>
      </c>
      <c r="AN37" s="62" t="s">
        <v>332</v>
      </c>
      <c r="AO37" s="62" t="s">
        <v>332</v>
      </c>
      <c r="AP37" s="70" t="s">
        <v>332</v>
      </c>
      <c r="AQ37" s="62" t="s">
        <v>332</v>
      </c>
      <c r="AR37" s="62" t="s">
        <v>332</v>
      </c>
      <c r="AS37" s="62" t="s">
        <v>332</v>
      </c>
      <c r="AT37" s="70" t="s">
        <v>332</v>
      </c>
      <c r="AU37" s="62">
        <f t="shared" ref="AU37:BC37" si="47">AU27+AU32</f>
        <v>0</v>
      </c>
      <c r="AV37" s="62">
        <f t="shared" si="47"/>
        <v>0</v>
      </c>
      <c r="AW37" s="62">
        <f t="shared" si="47"/>
        <v>0</v>
      </c>
      <c r="AX37" s="357">
        <f t="shared" si="47"/>
        <v>0</v>
      </c>
      <c r="AY37" s="358">
        <f t="shared" si="47"/>
        <v>0</v>
      </c>
      <c r="AZ37" s="62">
        <f t="shared" si="47"/>
        <v>0</v>
      </c>
      <c r="BA37" s="62">
        <f t="shared" si="47"/>
        <v>0</v>
      </c>
      <c r="BB37" s="70">
        <f t="shared" si="47"/>
        <v>0</v>
      </c>
      <c r="BC37" s="62">
        <f t="shared" si="47"/>
        <v>0</v>
      </c>
      <c r="BD37" s="62">
        <f t="shared" ref="BD37:BE37" si="48">BD27+BD32</f>
        <v>2.6</v>
      </c>
      <c r="BE37" s="62">
        <f t="shared" si="48"/>
        <v>2.2999999999999998</v>
      </c>
      <c r="BF37" s="62">
        <f t="shared" ref="BF37" si="49">BF27+BF32</f>
        <v>2.2000000000000002</v>
      </c>
    </row>
    <row r="38" spans="1:58" s="17" customFormat="1" ht="11.25">
      <c r="A38" s="257"/>
      <c r="B38" s="257"/>
      <c r="C38" s="27"/>
      <c r="D38" s="28"/>
      <c r="E38" s="28"/>
      <c r="F38" s="29"/>
      <c r="G38" s="27"/>
      <c r="H38" s="28"/>
      <c r="I38" s="28"/>
      <c r="J38" s="29"/>
      <c r="K38" s="28"/>
      <c r="L38" s="28"/>
      <c r="M38" s="28"/>
      <c r="N38" s="28"/>
      <c r="O38" s="27"/>
      <c r="P38" s="28"/>
      <c r="Q38" s="28"/>
      <c r="R38" s="29"/>
      <c r="S38" s="28"/>
      <c r="T38" s="28"/>
      <c r="U38" s="28"/>
      <c r="V38" s="28"/>
      <c r="W38" s="27"/>
      <c r="X38" s="28"/>
      <c r="Y38" s="28"/>
      <c r="Z38" s="29"/>
      <c r="AA38" s="28"/>
      <c r="AB38" s="28"/>
      <c r="AC38" s="28"/>
      <c r="AD38" s="28"/>
      <c r="AE38" s="27"/>
      <c r="AF38" s="28"/>
      <c r="AG38" s="28"/>
      <c r="AH38" s="29"/>
      <c r="AI38" s="28"/>
      <c r="AJ38" s="28"/>
      <c r="AK38" s="28"/>
      <c r="AL38" s="28"/>
      <c r="AM38" s="27"/>
      <c r="AN38" s="28"/>
      <c r="AO38" s="28"/>
      <c r="AP38" s="29"/>
      <c r="AQ38" s="28"/>
      <c r="AR38" s="28"/>
      <c r="AS38" s="28"/>
      <c r="AT38" s="29"/>
      <c r="AU38" s="79"/>
      <c r="AV38" s="79"/>
      <c r="AW38" s="79"/>
      <c r="AX38" s="386"/>
      <c r="AY38" s="387"/>
      <c r="AZ38" s="79"/>
      <c r="BA38" s="79"/>
      <c r="BB38" s="334"/>
      <c r="BC38" s="79"/>
      <c r="BD38" s="79"/>
      <c r="BE38" s="404"/>
      <c r="BF38" s="79"/>
    </row>
    <row r="39" spans="1:58" s="176" customFormat="1" ht="11.25">
      <c r="A39" s="51" t="s">
        <v>278</v>
      </c>
      <c r="B39" s="51" t="s">
        <v>672</v>
      </c>
      <c r="C39" s="37"/>
      <c r="D39" s="38"/>
      <c r="E39" s="38"/>
      <c r="F39" s="39"/>
      <c r="G39" s="37"/>
      <c r="H39" s="38"/>
      <c r="I39" s="38"/>
      <c r="J39" s="39"/>
      <c r="K39" s="38"/>
      <c r="L39" s="38"/>
      <c r="M39" s="38"/>
      <c r="N39" s="38"/>
      <c r="O39" s="37"/>
      <c r="P39" s="38"/>
      <c r="Q39" s="38"/>
      <c r="R39" s="39"/>
      <c r="S39" s="38"/>
      <c r="T39" s="38"/>
      <c r="U39" s="38"/>
      <c r="V39" s="38"/>
      <c r="W39" s="37"/>
      <c r="X39" s="38"/>
      <c r="Y39" s="38"/>
      <c r="Z39" s="39"/>
      <c r="AA39" s="38"/>
      <c r="AB39" s="38"/>
      <c r="AC39" s="38"/>
      <c r="AD39" s="38"/>
      <c r="AE39" s="37"/>
      <c r="AF39" s="38"/>
      <c r="AG39" s="38"/>
      <c r="AH39" s="39"/>
      <c r="AI39" s="38"/>
      <c r="AJ39" s="38"/>
      <c r="AK39" s="38"/>
      <c r="AL39" s="38"/>
      <c r="AM39" s="37"/>
      <c r="AN39" s="38"/>
      <c r="AO39" s="38"/>
      <c r="AP39" s="39"/>
      <c r="AQ39" s="38"/>
      <c r="AR39" s="38"/>
      <c r="AS39" s="38"/>
      <c r="AT39" s="39"/>
      <c r="AU39" s="75"/>
      <c r="AV39" s="75"/>
      <c r="AW39" s="75"/>
      <c r="AX39" s="388"/>
      <c r="AY39" s="389"/>
      <c r="AZ39" s="75"/>
      <c r="BA39" s="75"/>
      <c r="BB39" s="76"/>
      <c r="BC39" s="75"/>
      <c r="BD39" s="75"/>
      <c r="BE39" s="75"/>
      <c r="BF39" s="75"/>
    </row>
    <row r="40" spans="1:58" s="17" customFormat="1" ht="11.25">
      <c r="A40" s="30" t="s">
        <v>660</v>
      </c>
      <c r="B40" s="30" t="s">
        <v>661</v>
      </c>
      <c r="C40" s="61" t="s">
        <v>332</v>
      </c>
      <c r="D40" s="62" t="s">
        <v>332</v>
      </c>
      <c r="E40" s="62" t="s">
        <v>332</v>
      </c>
      <c r="F40" s="70" t="s">
        <v>332</v>
      </c>
      <c r="G40" s="61" t="s">
        <v>332</v>
      </c>
      <c r="H40" s="62" t="s">
        <v>332</v>
      </c>
      <c r="I40" s="62" t="s">
        <v>332</v>
      </c>
      <c r="J40" s="70" t="s">
        <v>332</v>
      </c>
      <c r="K40" s="62" t="s">
        <v>332</v>
      </c>
      <c r="L40" s="62" t="s">
        <v>332</v>
      </c>
      <c r="M40" s="62" t="s">
        <v>332</v>
      </c>
      <c r="N40" s="62" t="s">
        <v>332</v>
      </c>
      <c r="O40" s="61" t="s">
        <v>332</v>
      </c>
      <c r="P40" s="62" t="s">
        <v>332</v>
      </c>
      <c r="Q40" s="62" t="s">
        <v>332</v>
      </c>
      <c r="R40" s="70" t="s">
        <v>332</v>
      </c>
      <c r="S40" s="62" t="s">
        <v>332</v>
      </c>
      <c r="T40" s="62" t="s">
        <v>332</v>
      </c>
      <c r="U40" s="62" t="s">
        <v>332</v>
      </c>
      <c r="V40" s="62" t="s">
        <v>332</v>
      </c>
      <c r="W40" s="61" t="s">
        <v>332</v>
      </c>
      <c r="X40" s="62" t="s">
        <v>332</v>
      </c>
      <c r="Y40" s="62" t="s">
        <v>332</v>
      </c>
      <c r="Z40" s="70" t="s">
        <v>332</v>
      </c>
      <c r="AA40" s="62" t="s">
        <v>332</v>
      </c>
      <c r="AB40" s="62" t="s">
        <v>332</v>
      </c>
      <c r="AC40" s="62" t="s">
        <v>332</v>
      </c>
      <c r="AD40" s="62" t="s">
        <v>332</v>
      </c>
      <c r="AE40" s="61" t="s">
        <v>332</v>
      </c>
      <c r="AF40" s="62" t="s">
        <v>332</v>
      </c>
      <c r="AG40" s="62" t="s">
        <v>332</v>
      </c>
      <c r="AH40" s="70" t="s">
        <v>332</v>
      </c>
      <c r="AI40" s="62" t="s">
        <v>332</v>
      </c>
      <c r="AJ40" s="62" t="s">
        <v>332</v>
      </c>
      <c r="AK40" s="62" t="s">
        <v>332</v>
      </c>
      <c r="AL40" s="62" t="s">
        <v>332</v>
      </c>
      <c r="AM40" s="61" t="s">
        <v>332</v>
      </c>
      <c r="AN40" s="62" t="s">
        <v>332</v>
      </c>
      <c r="AO40" s="62" t="s">
        <v>332</v>
      </c>
      <c r="AP40" s="70" t="s">
        <v>332</v>
      </c>
      <c r="AQ40" s="62" t="s">
        <v>332</v>
      </c>
      <c r="AR40" s="62" t="s">
        <v>332</v>
      </c>
      <c r="AS40" s="62" t="s">
        <v>332</v>
      </c>
      <c r="AT40" s="70" t="s">
        <v>332</v>
      </c>
      <c r="AU40" s="62">
        <f t="shared" ref="AU40:BB40" si="50">SUM(AU41:AU44)</f>
        <v>91367.200000000012</v>
      </c>
      <c r="AV40" s="62">
        <f t="shared" si="50"/>
        <v>95902.299999999988</v>
      </c>
      <c r="AW40" s="62">
        <f t="shared" si="50"/>
        <v>100398.8</v>
      </c>
      <c r="AX40" s="357">
        <f t="shared" si="50"/>
        <v>104226.8</v>
      </c>
      <c r="AY40" s="358">
        <f t="shared" si="50"/>
        <v>108238.7</v>
      </c>
      <c r="AZ40" s="62">
        <f t="shared" si="50"/>
        <v>111280</v>
      </c>
      <c r="BA40" s="62">
        <f t="shared" si="50"/>
        <v>116205.5</v>
      </c>
      <c r="BB40" s="62">
        <f t="shared" si="50"/>
        <v>118277</v>
      </c>
      <c r="BC40" s="62">
        <f>SUM(BC41:BC44)</f>
        <v>123869.2</v>
      </c>
      <c r="BD40" s="62">
        <f>SUM(BD41:BD44)</f>
        <v>121463.2</v>
      </c>
      <c r="BE40" s="62">
        <f>SUM(BE41:BE44)</f>
        <v>123745.2</v>
      </c>
      <c r="BF40" s="62">
        <f>SUM(BF41:BF44)</f>
        <v>125992.40000000001</v>
      </c>
    </row>
    <row r="41" spans="1:58" s="17" customFormat="1" ht="11.25">
      <c r="A41" s="26" t="s">
        <v>745</v>
      </c>
      <c r="B41" s="26" t="s">
        <v>662</v>
      </c>
      <c r="C41" s="61" t="s">
        <v>332</v>
      </c>
      <c r="D41" s="62" t="s">
        <v>332</v>
      </c>
      <c r="E41" s="62" t="s">
        <v>332</v>
      </c>
      <c r="F41" s="70" t="s">
        <v>332</v>
      </c>
      <c r="G41" s="61" t="s">
        <v>332</v>
      </c>
      <c r="H41" s="62" t="s">
        <v>332</v>
      </c>
      <c r="I41" s="62" t="s">
        <v>332</v>
      </c>
      <c r="J41" s="70" t="s">
        <v>332</v>
      </c>
      <c r="K41" s="62" t="s">
        <v>332</v>
      </c>
      <c r="L41" s="62" t="s">
        <v>332</v>
      </c>
      <c r="M41" s="62" t="s">
        <v>332</v>
      </c>
      <c r="N41" s="62" t="s">
        <v>332</v>
      </c>
      <c r="O41" s="61" t="s">
        <v>332</v>
      </c>
      <c r="P41" s="62" t="s">
        <v>332</v>
      </c>
      <c r="Q41" s="62" t="s">
        <v>332</v>
      </c>
      <c r="R41" s="70" t="s">
        <v>332</v>
      </c>
      <c r="S41" s="62" t="s">
        <v>332</v>
      </c>
      <c r="T41" s="62" t="s">
        <v>332</v>
      </c>
      <c r="U41" s="62" t="s">
        <v>332</v>
      </c>
      <c r="V41" s="62" t="s">
        <v>332</v>
      </c>
      <c r="W41" s="61" t="s">
        <v>332</v>
      </c>
      <c r="X41" s="62" t="s">
        <v>332</v>
      </c>
      <c r="Y41" s="62" t="s">
        <v>332</v>
      </c>
      <c r="Z41" s="70" t="s">
        <v>332</v>
      </c>
      <c r="AA41" s="62" t="s">
        <v>332</v>
      </c>
      <c r="AB41" s="62" t="s">
        <v>332</v>
      </c>
      <c r="AC41" s="62" t="s">
        <v>332</v>
      </c>
      <c r="AD41" s="62" t="s">
        <v>332</v>
      </c>
      <c r="AE41" s="61" t="s">
        <v>332</v>
      </c>
      <c r="AF41" s="62" t="s">
        <v>332</v>
      </c>
      <c r="AG41" s="62" t="s">
        <v>332</v>
      </c>
      <c r="AH41" s="70" t="s">
        <v>332</v>
      </c>
      <c r="AI41" s="62" t="s">
        <v>332</v>
      </c>
      <c r="AJ41" s="62" t="s">
        <v>332</v>
      </c>
      <c r="AK41" s="62" t="s">
        <v>332</v>
      </c>
      <c r="AL41" s="62" t="s">
        <v>332</v>
      </c>
      <c r="AM41" s="61" t="s">
        <v>332</v>
      </c>
      <c r="AN41" s="62" t="s">
        <v>332</v>
      </c>
      <c r="AO41" s="62" t="s">
        <v>332</v>
      </c>
      <c r="AP41" s="70" t="s">
        <v>332</v>
      </c>
      <c r="AQ41" s="62" t="s">
        <v>332</v>
      </c>
      <c r="AR41" s="62" t="s">
        <v>332</v>
      </c>
      <c r="AS41" s="62" t="s">
        <v>332</v>
      </c>
      <c r="AT41" s="70" t="s">
        <v>332</v>
      </c>
      <c r="AU41" s="62">
        <f t="shared" ref="AU41:AV44" si="51">AU7+AU24</f>
        <v>78649</v>
      </c>
      <c r="AV41" s="62">
        <f t="shared" si="51"/>
        <v>82834.8</v>
      </c>
      <c r="AW41" s="62">
        <f t="shared" ref="AW41:AY41" si="52">AW7+AW24</f>
        <v>87078</v>
      </c>
      <c r="AX41" s="357">
        <f t="shared" si="52"/>
        <v>90366.2</v>
      </c>
      <c r="AY41" s="358">
        <f t="shared" si="52"/>
        <v>94453.4</v>
      </c>
      <c r="AZ41" s="62">
        <f t="shared" ref="AZ41:BC41" si="53">AZ7+AZ24</f>
        <v>97697.600000000006</v>
      </c>
      <c r="BA41" s="62">
        <f t="shared" si="53"/>
        <v>102616.5</v>
      </c>
      <c r="BB41" s="70">
        <f t="shared" si="53"/>
        <v>105778.4</v>
      </c>
      <c r="BC41" s="62">
        <f t="shared" si="53"/>
        <v>109490</v>
      </c>
      <c r="BD41" s="62">
        <f t="shared" ref="BD41:BE41" si="54">BD7+BD24</f>
        <v>103653.5</v>
      </c>
      <c r="BE41" s="62">
        <f t="shared" si="54"/>
        <v>107296</v>
      </c>
      <c r="BF41" s="62">
        <f t="shared" ref="BF41" si="55">BF7+BF24</f>
        <v>111868.1</v>
      </c>
    </row>
    <row r="42" spans="1:58" s="17" customFormat="1" ht="11.25">
      <c r="A42" s="26" t="s">
        <v>746</v>
      </c>
      <c r="B42" s="26" t="s">
        <v>663</v>
      </c>
      <c r="C42" s="61" t="s">
        <v>332</v>
      </c>
      <c r="D42" s="62" t="s">
        <v>332</v>
      </c>
      <c r="E42" s="62" t="s">
        <v>332</v>
      </c>
      <c r="F42" s="70" t="s">
        <v>332</v>
      </c>
      <c r="G42" s="61" t="s">
        <v>332</v>
      </c>
      <c r="H42" s="62" t="s">
        <v>332</v>
      </c>
      <c r="I42" s="62" t="s">
        <v>332</v>
      </c>
      <c r="J42" s="70" t="s">
        <v>332</v>
      </c>
      <c r="K42" s="62" t="s">
        <v>332</v>
      </c>
      <c r="L42" s="62" t="s">
        <v>332</v>
      </c>
      <c r="M42" s="62" t="s">
        <v>332</v>
      </c>
      <c r="N42" s="62" t="s">
        <v>332</v>
      </c>
      <c r="O42" s="61" t="s">
        <v>332</v>
      </c>
      <c r="P42" s="62" t="s">
        <v>332</v>
      </c>
      <c r="Q42" s="62" t="s">
        <v>332</v>
      </c>
      <c r="R42" s="70" t="s">
        <v>332</v>
      </c>
      <c r="S42" s="62" t="s">
        <v>332</v>
      </c>
      <c r="T42" s="62" t="s">
        <v>332</v>
      </c>
      <c r="U42" s="62" t="s">
        <v>332</v>
      </c>
      <c r="V42" s="62" t="s">
        <v>332</v>
      </c>
      <c r="W42" s="61" t="s">
        <v>332</v>
      </c>
      <c r="X42" s="62" t="s">
        <v>332</v>
      </c>
      <c r="Y42" s="62" t="s">
        <v>332</v>
      </c>
      <c r="Z42" s="70" t="s">
        <v>332</v>
      </c>
      <c r="AA42" s="62" t="s">
        <v>332</v>
      </c>
      <c r="AB42" s="62" t="s">
        <v>332</v>
      </c>
      <c r="AC42" s="62" t="s">
        <v>332</v>
      </c>
      <c r="AD42" s="62" t="s">
        <v>332</v>
      </c>
      <c r="AE42" s="61" t="s">
        <v>332</v>
      </c>
      <c r="AF42" s="62" t="s">
        <v>332</v>
      </c>
      <c r="AG42" s="62" t="s">
        <v>332</v>
      </c>
      <c r="AH42" s="70" t="s">
        <v>332</v>
      </c>
      <c r="AI42" s="62" t="s">
        <v>332</v>
      </c>
      <c r="AJ42" s="62" t="s">
        <v>332</v>
      </c>
      <c r="AK42" s="62" t="s">
        <v>332</v>
      </c>
      <c r="AL42" s="62" t="s">
        <v>332</v>
      </c>
      <c r="AM42" s="61" t="s">
        <v>332</v>
      </c>
      <c r="AN42" s="62" t="s">
        <v>332</v>
      </c>
      <c r="AO42" s="62" t="s">
        <v>332</v>
      </c>
      <c r="AP42" s="70" t="s">
        <v>332</v>
      </c>
      <c r="AQ42" s="62" t="s">
        <v>332</v>
      </c>
      <c r="AR42" s="62" t="s">
        <v>332</v>
      </c>
      <c r="AS42" s="62" t="s">
        <v>332</v>
      </c>
      <c r="AT42" s="70" t="s">
        <v>332</v>
      </c>
      <c r="AU42" s="62">
        <f t="shared" si="51"/>
        <v>9977.0999999999985</v>
      </c>
      <c r="AV42" s="62">
        <f t="shared" si="51"/>
        <v>10194.599999999999</v>
      </c>
      <c r="AW42" s="62">
        <f t="shared" ref="AW42:AY42" si="56">AW8+AW25</f>
        <v>10475.200000000001</v>
      </c>
      <c r="AX42" s="357">
        <f t="shared" si="56"/>
        <v>10955.6</v>
      </c>
      <c r="AY42" s="358">
        <f t="shared" si="56"/>
        <v>10714.8</v>
      </c>
      <c r="AZ42" s="62">
        <f t="shared" ref="AZ42:BC42" si="57">AZ8+AZ25</f>
        <v>10271.700000000001</v>
      </c>
      <c r="BA42" s="62">
        <f t="shared" si="57"/>
        <v>10184.4</v>
      </c>
      <c r="BB42" s="70">
        <f t="shared" si="57"/>
        <v>8968.2999999999993</v>
      </c>
      <c r="BC42" s="62">
        <f t="shared" si="57"/>
        <v>10675</v>
      </c>
      <c r="BD42" s="62">
        <f t="shared" ref="BD42:BE42" si="58">BD8+BD25</f>
        <v>13895</v>
      </c>
      <c r="BE42" s="62">
        <f t="shared" si="58"/>
        <v>12440</v>
      </c>
      <c r="BF42" s="62">
        <f t="shared" ref="BF42" si="59">BF8+BF25</f>
        <v>9971.7999999999993</v>
      </c>
    </row>
    <row r="43" spans="1:58" s="17" customFormat="1" ht="11.25">
      <c r="A43" s="26" t="s">
        <v>747</v>
      </c>
      <c r="B43" s="26" t="s">
        <v>664</v>
      </c>
      <c r="C43" s="61" t="s">
        <v>332</v>
      </c>
      <c r="D43" s="62" t="s">
        <v>332</v>
      </c>
      <c r="E43" s="62" t="s">
        <v>332</v>
      </c>
      <c r="F43" s="70" t="s">
        <v>332</v>
      </c>
      <c r="G43" s="61" t="s">
        <v>332</v>
      </c>
      <c r="H43" s="62" t="s">
        <v>332</v>
      </c>
      <c r="I43" s="62" t="s">
        <v>332</v>
      </c>
      <c r="J43" s="70" t="s">
        <v>332</v>
      </c>
      <c r="K43" s="62" t="s">
        <v>332</v>
      </c>
      <c r="L43" s="62" t="s">
        <v>332</v>
      </c>
      <c r="M43" s="62" t="s">
        <v>332</v>
      </c>
      <c r="N43" s="62" t="s">
        <v>332</v>
      </c>
      <c r="O43" s="61" t="s">
        <v>332</v>
      </c>
      <c r="P43" s="62" t="s">
        <v>332</v>
      </c>
      <c r="Q43" s="62" t="s">
        <v>332</v>
      </c>
      <c r="R43" s="70" t="s">
        <v>332</v>
      </c>
      <c r="S43" s="62" t="s">
        <v>332</v>
      </c>
      <c r="T43" s="62" t="s">
        <v>332</v>
      </c>
      <c r="U43" s="62" t="s">
        <v>332</v>
      </c>
      <c r="V43" s="62" t="s">
        <v>332</v>
      </c>
      <c r="W43" s="61" t="s">
        <v>332</v>
      </c>
      <c r="X43" s="62" t="s">
        <v>332</v>
      </c>
      <c r="Y43" s="62" t="s">
        <v>332</v>
      </c>
      <c r="Z43" s="70" t="s">
        <v>332</v>
      </c>
      <c r="AA43" s="62" t="s">
        <v>332</v>
      </c>
      <c r="AB43" s="62" t="s">
        <v>332</v>
      </c>
      <c r="AC43" s="62" t="s">
        <v>332</v>
      </c>
      <c r="AD43" s="62" t="s">
        <v>332</v>
      </c>
      <c r="AE43" s="61" t="s">
        <v>332</v>
      </c>
      <c r="AF43" s="62" t="s">
        <v>332</v>
      </c>
      <c r="AG43" s="62" t="s">
        <v>332</v>
      </c>
      <c r="AH43" s="70" t="s">
        <v>332</v>
      </c>
      <c r="AI43" s="62" t="s">
        <v>332</v>
      </c>
      <c r="AJ43" s="62" t="s">
        <v>332</v>
      </c>
      <c r="AK43" s="62" t="s">
        <v>332</v>
      </c>
      <c r="AL43" s="62" t="s">
        <v>332</v>
      </c>
      <c r="AM43" s="61" t="s">
        <v>332</v>
      </c>
      <c r="AN43" s="62" t="s">
        <v>332</v>
      </c>
      <c r="AO43" s="62" t="s">
        <v>332</v>
      </c>
      <c r="AP43" s="70" t="s">
        <v>332</v>
      </c>
      <c r="AQ43" s="62" t="s">
        <v>332</v>
      </c>
      <c r="AR43" s="62" t="s">
        <v>332</v>
      </c>
      <c r="AS43" s="62" t="s">
        <v>332</v>
      </c>
      <c r="AT43" s="70" t="s">
        <v>332</v>
      </c>
      <c r="AU43" s="28">
        <f t="shared" si="51"/>
        <v>2741.1</v>
      </c>
      <c r="AV43" s="28">
        <f t="shared" si="51"/>
        <v>2872.9</v>
      </c>
      <c r="AW43" s="28">
        <f t="shared" ref="AW43:AY44" si="60">AW9+AW26</f>
        <v>2845.6000000000004</v>
      </c>
      <c r="AX43" s="351">
        <f t="shared" si="60"/>
        <v>2905</v>
      </c>
      <c r="AY43" s="352">
        <f t="shared" si="60"/>
        <v>3070.4999999999995</v>
      </c>
      <c r="AZ43" s="28">
        <f t="shared" ref="AZ43:BC44" si="61">AZ9+AZ26</f>
        <v>3310.7000000000003</v>
      </c>
      <c r="BA43" s="28">
        <f t="shared" si="61"/>
        <v>3404.6</v>
      </c>
      <c r="BB43" s="29">
        <f t="shared" si="61"/>
        <v>3528.8</v>
      </c>
      <c r="BC43" s="28">
        <f t="shared" si="61"/>
        <v>3702.8999999999996</v>
      </c>
      <c r="BD43" s="28">
        <f t="shared" ref="BD43:BE43" si="62">BD9+BD26</f>
        <v>3910.8</v>
      </c>
      <c r="BE43" s="28">
        <f t="shared" si="62"/>
        <v>4005.9</v>
      </c>
      <c r="BF43" s="28">
        <f t="shared" ref="BF43" si="63">BF9+BF26</f>
        <v>4149</v>
      </c>
    </row>
    <row r="44" spans="1:58" s="17" customFormat="1" ht="11.25">
      <c r="A44" s="26" t="s">
        <v>886</v>
      </c>
      <c r="B44" s="26" t="s">
        <v>886</v>
      </c>
      <c r="C44" s="61"/>
      <c r="D44" s="62"/>
      <c r="E44" s="62"/>
      <c r="F44" s="70"/>
      <c r="G44" s="61" t="s">
        <v>332</v>
      </c>
      <c r="H44" s="62" t="s">
        <v>332</v>
      </c>
      <c r="I44" s="62" t="s">
        <v>332</v>
      </c>
      <c r="J44" s="70" t="s">
        <v>332</v>
      </c>
      <c r="K44" s="62" t="s">
        <v>332</v>
      </c>
      <c r="L44" s="62" t="s">
        <v>332</v>
      </c>
      <c r="M44" s="62" t="s">
        <v>332</v>
      </c>
      <c r="N44" s="62" t="s">
        <v>332</v>
      </c>
      <c r="O44" s="61" t="s">
        <v>332</v>
      </c>
      <c r="P44" s="62" t="s">
        <v>332</v>
      </c>
      <c r="Q44" s="62" t="s">
        <v>332</v>
      </c>
      <c r="R44" s="70" t="s">
        <v>332</v>
      </c>
      <c r="S44" s="62" t="s">
        <v>332</v>
      </c>
      <c r="T44" s="62" t="s">
        <v>332</v>
      </c>
      <c r="U44" s="62" t="s">
        <v>332</v>
      </c>
      <c r="V44" s="62" t="s">
        <v>332</v>
      </c>
      <c r="W44" s="61" t="s">
        <v>332</v>
      </c>
      <c r="X44" s="62" t="s">
        <v>332</v>
      </c>
      <c r="Y44" s="62" t="s">
        <v>332</v>
      </c>
      <c r="Z44" s="70" t="s">
        <v>332</v>
      </c>
      <c r="AA44" s="62" t="s">
        <v>332</v>
      </c>
      <c r="AB44" s="62" t="s">
        <v>332</v>
      </c>
      <c r="AC44" s="62" t="s">
        <v>332</v>
      </c>
      <c r="AD44" s="62" t="s">
        <v>332</v>
      </c>
      <c r="AE44" s="61" t="s">
        <v>332</v>
      </c>
      <c r="AF44" s="62" t="s">
        <v>332</v>
      </c>
      <c r="AG44" s="62" t="s">
        <v>332</v>
      </c>
      <c r="AH44" s="70" t="s">
        <v>332</v>
      </c>
      <c r="AI44" s="62" t="s">
        <v>332</v>
      </c>
      <c r="AJ44" s="62" t="s">
        <v>332</v>
      </c>
      <c r="AK44" s="62" t="s">
        <v>332</v>
      </c>
      <c r="AL44" s="62" t="s">
        <v>332</v>
      </c>
      <c r="AM44" s="61" t="s">
        <v>332</v>
      </c>
      <c r="AN44" s="62" t="s">
        <v>332</v>
      </c>
      <c r="AO44" s="62" t="s">
        <v>332</v>
      </c>
      <c r="AP44" s="70" t="s">
        <v>332</v>
      </c>
      <c r="AQ44" s="62" t="s">
        <v>332</v>
      </c>
      <c r="AR44" s="62" t="s">
        <v>332</v>
      </c>
      <c r="AS44" s="62" t="s">
        <v>332</v>
      </c>
      <c r="AT44" s="70" t="s">
        <v>332</v>
      </c>
      <c r="AU44" s="28">
        <f t="shared" si="51"/>
        <v>0</v>
      </c>
      <c r="AV44" s="28">
        <f t="shared" si="51"/>
        <v>0</v>
      </c>
      <c r="AW44" s="28">
        <f t="shared" si="60"/>
        <v>0</v>
      </c>
      <c r="AX44" s="351">
        <f t="shared" si="60"/>
        <v>0</v>
      </c>
      <c r="AY44" s="352">
        <f t="shared" si="60"/>
        <v>0</v>
      </c>
      <c r="AZ44" s="28">
        <f t="shared" si="61"/>
        <v>0</v>
      </c>
      <c r="BA44" s="28">
        <f t="shared" si="61"/>
        <v>0</v>
      </c>
      <c r="BB44" s="29">
        <f t="shared" si="61"/>
        <v>1.5</v>
      </c>
      <c r="BC44" s="28">
        <f t="shared" si="61"/>
        <v>1.3</v>
      </c>
      <c r="BD44" s="28">
        <f t="shared" ref="BD44:BE44" si="64">BD10+BD27</f>
        <v>3.9000000000000004</v>
      </c>
      <c r="BE44" s="28">
        <f t="shared" si="64"/>
        <v>3.3</v>
      </c>
      <c r="BF44" s="28">
        <f t="shared" ref="BF44" si="65">BF10+BF27</f>
        <v>3.5</v>
      </c>
    </row>
    <row r="45" spans="1:58" s="17" customFormat="1" ht="11.25">
      <c r="A45" s="30" t="s">
        <v>665</v>
      </c>
      <c r="B45" s="30" t="s">
        <v>666</v>
      </c>
      <c r="C45" s="61" t="s">
        <v>332</v>
      </c>
      <c r="D45" s="62" t="s">
        <v>332</v>
      </c>
      <c r="E45" s="62" t="s">
        <v>332</v>
      </c>
      <c r="F45" s="70" t="s">
        <v>332</v>
      </c>
      <c r="G45" s="61" t="s">
        <v>332</v>
      </c>
      <c r="H45" s="62" t="s">
        <v>332</v>
      </c>
      <c r="I45" s="62" t="s">
        <v>332</v>
      </c>
      <c r="J45" s="70" t="s">
        <v>332</v>
      </c>
      <c r="K45" s="62" t="s">
        <v>332</v>
      </c>
      <c r="L45" s="62" t="s">
        <v>332</v>
      </c>
      <c r="M45" s="62" t="s">
        <v>332</v>
      </c>
      <c r="N45" s="62" t="s">
        <v>332</v>
      </c>
      <c r="O45" s="61" t="s">
        <v>332</v>
      </c>
      <c r="P45" s="62" t="s">
        <v>332</v>
      </c>
      <c r="Q45" s="62" t="s">
        <v>332</v>
      </c>
      <c r="R45" s="70" t="s">
        <v>332</v>
      </c>
      <c r="S45" s="62" t="s">
        <v>332</v>
      </c>
      <c r="T45" s="62" t="s">
        <v>332</v>
      </c>
      <c r="U45" s="62" t="s">
        <v>332</v>
      </c>
      <c r="V45" s="62" t="s">
        <v>332</v>
      </c>
      <c r="W45" s="61" t="s">
        <v>332</v>
      </c>
      <c r="X45" s="62" t="s">
        <v>332</v>
      </c>
      <c r="Y45" s="62" t="s">
        <v>332</v>
      </c>
      <c r="Z45" s="70" t="s">
        <v>332</v>
      </c>
      <c r="AA45" s="62" t="s">
        <v>332</v>
      </c>
      <c r="AB45" s="62" t="s">
        <v>332</v>
      </c>
      <c r="AC45" s="62" t="s">
        <v>332</v>
      </c>
      <c r="AD45" s="62" t="s">
        <v>332</v>
      </c>
      <c r="AE45" s="61" t="s">
        <v>332</v>
      </c>
      <c r="AF45" s="62" t="s">
        <v>332</v>
      </c>
      <c r="AG45" s="62" t="s">
        <v>332</v>
      </c>
      <c r="AH45" s="70" t="s">
        <v>332</v>
      </c>
      <c r="AI45" s="62" t="s">
        <v>332</v>
      </c>
      <c r="AJ45" s="62" t="s">
        <v>332</v>
      </c>
      <c r="AK45" s="62" t="s">
        <v>332</v>
      </c>
      <c r="AL45" s="62" t="s">
        <v>332</v>
      </c>
      <c r="AM45" s="61" t="s">
        <v>332</v>
      </c>
      <c r="AN45" s="62" t="s">
        <v>332</v>
      </c>
      <c r="AO45" s="62" t="s">
        <v>332</v>
      </c>
      <c r="AP45" s="70" t="s">
        <v>332</v>
      </c>
      <c r="AQ45" s="62" t="s">
        <v>332</v>
      </c>
      <c r="AR45" s="62" t="s">
        <v>332</v>
      </c>
      <c r="AS45" s="62" t="s">
        <v>332</v>
      </c>
      <c r="AT45" s="70" t="s">
        <v>332</v>
      </c>
      <c r="AU45" s="28">
        <f t="shared" ref="AU45:BB45" si="66">SUM(AU46:AU49)</f>
        <v>-2086.1999999999998</v>
      </c>
      <c r="AV45" s="28">
        <f t="shared" si="66"/>
        <v>-2236</v>
      </c>
      <c r="AW45" s="28">
        <f t="shared" si="66"/>
        <v>-2203.8999999999996</v>
      </c>
      <c r="AX45" s="351">
        <f t="shared" si="66"/>
        <v>-2270</v>
      </c>
      <c r="AY45" s="352">
        <f t="shared" si="66"/>
        <v>-2284.3999999999996</v>
      </c>
      <c r="AZ45" s="28">
        <f t="shared" si="66"/>
        <v>-2422.7999999999997</v>
      </c>
      <c r="BA45" s="28">
        <f t="shared" si="66"/>
        <v>-2534.9</v>
      </c>
      <c r="BB45" s="29">
        <f t="shared" si="66"/>
        <v>-2446</v>
      </c>
      <c r="BC45" s="28">
        <f>SUM(BC46:BC49)</f>
        <v>-2766.2</v>
      </c>
      <c r="BD45" s="28">
        <f>SUM(BD46:BD49)</f>
        <v>-3048</v>
      </c>
      <c r="BE45" s="28">
        <f>SUM(BE46:BE49)</f>
        <v>-3185.7000000000003</v>
      </c>
      <c r="BF45" s="28">
        <f>SUM(BF46:BF49)</f>
        <v>-3270.3</v>
      </c>
    </row>
    <row r="46" spans="1:58" s="17" customFormat="1" ht="11.25">
      <c r="A46" s="26" t="s">
        <v>748</v>
      </c>
      <c r="B46" s="26" t="s">
        <v>667</v>
      </c>
      <c r="C46" s="61" t="s">
        <v>332</v>
      </c>
      <c r="D46" s="62" t="s">
        <v>332</v>
      </c>
      <c r="E46" s="62" t="s">
        <v>332</v>
      </c>
      <c r="F46" s="70" t="s">
        <v>332</v>
      </c>
      <c r="G46" s="61" t="s">
        <v>332</v>
      </c>
      <c r="H46" s="62" t="s">
        <v>332</v>
      </c>
      <c r="I46" s="62" t="s">
        <v>332</v>
      </c>
      <c r="J46" s="70" t="s">
        <v>332</v>
      </c>
      <c r="K46" s="62" t="s">
        <v>332</v>
      </c>
      <c r="L46" s="62" t="s">
        <v>332</v>
      </c>
      <c r="M46" s="62" t="s">
        <v>332</v>
      </c>
      <c r="N46" s="62" t="s">
        <v>332</v>
      </c>
      <c r="O46" s="61" t="s">
        <v>332</v>
      </c>
      <c r="P46" s="62" t="s">
        <v>332</v>
      </c>
      <c r="Q46" s="62" t="s">
        <v>332</v>
      </c>
      <c r="R46" s="70" t="s">
        <v>332</v>
      </c>
      <c r="S46" s="62" t="s">
        <v>332</v>
      </c>
      <c r="T46" s="62" t="s">
        <v>332</v>
      </c>
      <c r="U46" s="62" t="s">
        <v>332</v>
      </c>
      <c r="V46" s="62" t="s">
        <v>332</v>
      </c>
      <c r="W46" s="61" t="s">
        <v>332</v>
      </c>
      <c r="X46" s="62" t="s">
        <v>332</v>
      </c>
      <c r="Y46" s="62" t="s">
        <v>332</v>
      </c>
      <c r="Z46" s="70" t="s">
        <v>332</v>
      </c>
      <c r="AA46" s="62" t="s">
        <v>332</v>
      </c>
      <c r="AB46" s="62" t="s">
        <v>332</v>
      </c>
      <c r="AC46" s="62" t="s">
        <v>332</v>
      </c>
      <c r="AD46" s="62" t="s">
        <v>332</v>
      </c>
      <c r="AE46" s="61" t="s">
        <v>332</v>
      </c>
      <c r="AF46" s="62" t="s">
        <v>332</v>
      </c>
      <c r="AG46" s="62" t="s">
        <v>332</v>
      </c>
      <c r="AH46" s="70" t="s">
        <v>332</v>
      </c>
      <c r="AI46" s="62" t="s">
        <v>332</v>
      </c>
      <c r="AJ46" s="62" t="s">
        <v>332</v>
      </c>
      <c r="AK46" s="62" t="s">
        <v>332</v>
      </c>
      <c r="AL46" s="62" t="s">
        <v>332</v>
      </c>
      <c r="AM46" s="61" t="s">
        <v>332</v>
      </c>
      <c r="AN46" s="62" t="s">
        <v>332</v>
      </c>
      <c r="AO46" s="62" t="s">
        <v>332</v>
      </c>
      <c r="AP46" s="70" t="s">
        <v>332</v>
      </c>
      <c r="AQ46" s="62" t="s">
        <v>332</v>
      </c>
      <c r="AR46" s="62" t="s">
        <v>332</v>
      </c>
      <c r="AS46" s="62" t="s">
        <v>332</v>
      </c>
      <c r="AT46" s="70" t="s">
        <v>332</v>
      </c>
      <c r="AU46" s="28">
        <f t="shared" ref="AU46:AV49" si="67">AU12+AU29</f>
        <v>-110.6</v>
      </c>
      <c r="AV46" s="28">
        <f t="shared" si="67"/>
        <v>-134.10000000000002</v>
      </c>
      <c r="AW46" s="28">
        <f t="shared" ref="AW46:AY46" si="68">AW12+AW29</f>
        <v>-127</v>
      </c>
      <c r="AX46" s="351">
        <f t="shared" si="68"/>
        <v>-114.2</v>
      </c>
      <c r="AY46" s="352">
        <f t="shared" si="68"/>
        <v>-118.3</v>
      </c>
      <c r="AZ46" s="28">
        <f t="shared" ref="AZ46:BC46" si="69">AZ12+AZ29</f>
        <v>-131.30000000000001</v>
      </c>
      <c r="BA46" s="28">
        <f t="shared" si="69"/>
        <v>-123.7</v>
      </c>
      <c r="BB46" s="29">
        <f t="shared" si="69"/>
        <v>-123.2</v>
      </c>
      <c r="BC46" s="28">
        <f t="shared" si="69"/>
        <v>-190</v>
      </c>
      <c r="BD46" s="28">
        <f t="shared" ref="BD46:BE46" si="70">BD12+BD29</f>
        <v>-251.9</v>
      </c>
      <c r="BE46" s="28">
        <f t="shared" si="70"/>
        <v>-302.3</v>
      </c>
      <c r="BF46" s="28">
        <f t="shared" ref="BF46" si="71">BF12+BF29</f>
        <v>-342.29999999999995</v>
      </c>
    </row>
    <row r="47" spans="1:58" s="17" customFormat="1" ht="11.25">
      <c r="A47" s="26" t="s">
        <v>749</v>
      </c>
      <c r="B47" s="26" t="s">
        <v>668</v>
      </c>
      <c r="C47" s="61" t="s">
        <v>332</v>
      </c>
      <c r="D47" s="62" t="s">
        <v>332</v>
      </c>
      <c r="E47" s="62" t="s">
        <v>332</v>
      </c>
      <c r="F47" s="70" t="s">
        <v>332</v>
      </c>
      <c r="G47" s="61" t="s">
        <v>332</v>
      </c>
      <c r="H47" s="62" t="s">
        <v>332</v>
      </c>
      <c r="I47" s="62" t="s">
        <v>332</v>
      </c>
      <c r="J47" s="70" t="s">
        <v>332</v>
      </c>
      <c r="K47" s="62" t="s">
        <v>332</v>
      </c>
      <c r="L47" s="62" t="s">
        <v>332</v>
      </c>
      <c r="M47" s="62" t="s">
        <v>332</v>
      </c>
      <c r="N47" s="62" t="s">
        <v>332</v>
      </c>
      <c r="O47" s="61" t="s">
        <v>332</v>
      </c>
      <c r="P47" s="62" t="s">
        <v>332</v>
      </c>
      <c r="Q47" s="62" t="s">
        <v>332</v>
      </c>
      <c r="R47" s="70" t="s">
        <v>332</v>
      </c>
      <c r="S47" s="62" t="s">
        <v>332</v>
      </c>
      <c r="T47" s="62" t="s">
        <v>332</v>
      </c>
      <c r="U47" s="62" t="s">
        <v>332</v>
      </c>
      <c r="V47" s="62" t="s">
        <v>332</v>
      </c>
      <c r="W47" s="61" t="s">
        <v>332</v>
      </c>
      <c r="X47" s="62" t="s">
        <v>332</v>
      </c>
      <c r="Y47" s="62" t="s">
        <v>332</v>
      </c>
      <c r="Z47" s="70" t="s">
        <v>332</v>
      </c>
      <c r="AA47" s="62" t="s">
        <v>332</v>
      </c>
      <c r="AB47" s="62" t="s">
        <v>332</v>
      </c>
      <c r="AC47" s="62" t="s">
        <v>332</v>
      </c>
      <c r="AD47" s="62" t="s">
        <v>332</v>
      </c>
      <c r="AE47" s="61" t="s">
        <v>332</v>
      </c>
      <c r="AF47" s="62" t="s">
        <v>332</v>
      </c>
      <c r="AG47" s="62" t="s">
        <v>332</v>
      </c>
      <c r="AH47" s="70" t="s">
        <v>332</v>
      </c>
      <c r="AI47" s="62" t="s">
        <v>332</v>
      </c>
      <c r="AJ47" s="62" t="s">
        <v>332</v>
      </c>
      <c r="AK47" s="62" t="s">
        <v>332</v>
      </c>
      <c r="AL47" s="62" t="s">
        <v>332</v>
      </c>
      <c r="AM47" s="61" t="s">
        <v>332</v>
      </c>
      <c r="AN47" s="62" t="s">
        <v>332</v>
      </c>
      <c r="AO47" s="62" t="s">
        <v>332</v>
      </c>
      <c r="AP47" s="70" t="s">
        <v>332</v>
      </c>
      <c r="AQ47" s="62" t="s">
        <v>332</v>
      </c>
      <c r="AR47" s="62" t="s">
        <v>332</v>
      </c>
      <c r="AS47" s="62" t="s">
        <v>332</v>
      </c>
      <c r="AT47" s="70" t="s">
        <v>332</v>
      </c>
      <c r="AU47" s="28">
        <f t="shared" si="67"/>
        <v>-343.5</v>
      </c>
      <c r="AV47" s="28">
        <f t="shared" si="67"/>
        <v>-383.59999999999997</v>
      </c>
      <c r="AW47" s="28">
        <f t="shared" ref="AW47:AY47" si="72">AW13+AW30</f>
        <v>-396.2</v>
      </c>
      <c r="AX47" s="351">
        <f t="shared" si="72"/>
        <v>-424.8</v>
      </c>
      <c r="AY47" s="352">
        <f t="shared" si="72"/>
        <v>-406.9</v>
      </c>
      <c r="AZ47" s="28">
        <f t="shared" ref="AZ47:BC47" si="73">AZ13+AZ30</f>
        <v>-395.19999999999993</v>
      </c>
      <c r="BA47" s="28">
        <f t="shared" si="73"/>
        <v>-408.5</v>
      </c>
      <c r="BB47" s="29">
        <f t="shared" si="73"/>
        <v>-413.80000000000007</v>
      </c>
      <c r="BC47" s="28">
        <f t="shared" si="73"/>
        <v>-487.8</v>
      </c>
      <c r="BD47" s="28">
        <f t="shared" ref="BD47:BE47" si="74">BD13+BD30</f>
        <v>-531.9</v>
      </c>
      <c r="BE47" s="28">
        <f t="shared" si="74"/>
        <v>-485.6</v>
      </c>
      <c r="BF47" s="28">
        <f t="shared" ref="BF47" si="75">BF13+BF30</f>
        <v>-409.5</v>
      </c>
    </row>
    <row r="48" spans="1:58" s="17" customFormat="1" ht="11.25">
      <c r="A48" s="26" t="s">
        <v>750</v>
      </c>
      <c r="B48" s="26" t="s">
        <v>669</v>
      </c>
      <c r="C48" s="61" t="s">
        <v>332</v>
      </c>
      <c r="D48" s="62" t="s">
        <v>332</v>
      </c>
      <c r="E48" s="62" t="s">
        <v>332</v>
      </c>
      <c r="F48" s="70" t="s">
        <v>332</v>
      </c>
      <c r="G48" s="61" t="s">
        <v>332</v>
      </c>
      <c r="H48" s="62" t="s">
        <v>332</v>
      </c>
      <c r="I48" s="62" t="s">
        <v>332</v>
      </c>
      <c r="J48" s="70" t="s">
        <v>332</v>
      </c>
      <c r="K48" s="62" t="s">
        <v>332</v>
      </c>
      <c r="L48" s="62" t="s">
        <v>332</v>
      </c>
      <c r="M48" s="62" t="s">
        <v>332</v>
      </c>
      <c r="N48" s="62" t="s">
        <v>332</v>
      </c>
      <c r="O48" s="61" t="s">
        <v>332</v>
      </c>
      <c r="P48" s="62" t="s">
        <v>332</v>
      </c>
      <c r="Q48" s="62" t="s">
        <v>332</v>
      </c>
      <c r="R48" s="70" t="s">
        <v>332</v>
      </c>
      <c r="S48" s="62" t="s">
        <v>332</v>
      </c>
      <c r="T48" s="62" t="s">
        <v>332</v>
      </c>
      <c r="U48" s="62" t="s">
        <v>332</v>
      </c>
      <c r="V48" s="62" t="s">
        <v>332</v>
      </c>
      <c r="W48" s="61" t="s">
        <v>332</v>
      </c>
      <c r="X48" s="62" t="s">
        <v>332</v>
      </c>
      <c r="Y48" s="62" t="s">
        <v>332</v>
      </c>
      <c r="Z48" s="70" t="s">
        <v>332</v>
      </c>
      <c r="AA48" s="62" t="s">
        <v>332</v>
      </c>
      <c r="AB48" s="62" t="s">
        <v>332</v>
      </c>
      <c r="AC48" s="62" t="s">
        <v>332</v>
      </c>
      <c r="AD48" s="62" t="s">
        <v>332</v>
      </c>
      <c r="AE48" s="61" t="s">
        <v>332</v>
      </c>
      <c r="AF48" s="62" t="s">
        <v>332</v>
      </c>
      <c r="AG48" s="62" t="s">
        <v>332</v>
      </c>
      <c r="AH48" s="70" t="s">
        <v>332</v>
      </c>
      <c r="AI48" s="62" t="s">
        <v>332</v>
      </c>
      <c r="AJ48" s="62" t="s">
        <v>332</v>
      </c>
      <c r="AK48" s="62" t="s">
        <v>332</v>
      </c>
      <c r="AL48" s="62" t="s">
        <v>332</v>
      </c>
      <c r="AM48" s="61" t="s">
        <v>332</v>
      </c>
      <c r="AN48" s="62" t="s">
        <v>332</v>
      </c>
      <c r="AO48" s="62" t="s">
        <v>332</v>
      </c>
      <c r="AP48" s="70" t="s">
        <v>332</v>
      </c>
      <c r="AQ48" s="62" t="s">
        <v>332</v>
      </c>
      <c r="AR48" s="62" t="s">
        <v>332</v>
      </c>
      <c r="AS48" s="62" t="s">
        <v>332</v>
      </c>
      <c r="AT48" s="70" t="s">
        <v>332</v>
      </c>
      <c r="AU48" s="28">
        <f t="shared" si="67"/>
        <v>-1632.1</v>
      </c>
      <c r="AV48" s="28">
        <f t="shared" si="67"/>
        <v>-1718.3</v>
      </c>
      <c r="AW48" s="28">
        <f t="shared" ref="AW48:AY49" si="76">AW14+AW31</f>
        <v>-1680.6999999999998</v>
      </c>
      <c r="AX48" s="351">
        <f t="shared" si="76"/>
        <v>-1731</v>
      </c>
      <c r="AY48" s="352">
        <f t="shared" si="76"/>
        <v>-1759.1999999999998</v>
      </c>
      <c r="AZ48" s="28">
        <f t="shared" ref="AZ48:BC49" si="77">AZ14+AZ31</f>
        <v>-1896.2999999999997</v>
      </c>
      <c r="BA48" s="28">
        <f t="shared" si="77"/>
        <v>-2002.7</v>
      </c>
      <c r="BB48" s="29">
        <f t="shared" si="77"/>
        <v>-1909</v>
      </c>
      <c r="BC48" s="28">
        <f t="shared" si="77"/>
        <v>-2088.3999999999996</v>
      </c>
      <c r="BD48" s="28">
        <f t="shared" ref="BD48:BE48" si="78">BD14+BD31</f>
        <v>-2264.1999999999998</v>
      </c>
      <c r="BE48" s="28">
        <f t="shared" si="78"/>
        <v>-2397.8000000000002</v>
      </c>
      <c r="BF48" s="28">
        <f t="shared" ref="BF48" si="79">BF14+BF31</f>
        <v>-2518.5</v>
      </c>
    </row>
    <row r="49" spans="1:58" s="17" customFormat="1" ht="11.25">
      <c r="A49" s="26" t="s">
        <v>886</v>
      </c>
      <c r="B49" s="26" t="s">
        <v>886</v>
      </c>
      <c r="C49" s="61"/>
      <c r="D49" s="62"/>
      <c r="E49" s="62"/>
      <c r="F49" s="70"/>
      <c r="G49" s="61" t="s">
        <v>332</v>
      </c>
      <c r="H49" s="62" t="s">
        <v>332</v>
      </c>
      <c r="I49" s="62" t="s">
        <v>332</v>
      </c>
      <c r="J49" s="70" t="s">
        <v>332</v>
      </c>
      <c r="K49" s="62" t="s">
        <v>332</v>
      </c>
      <c r="L49" s="62" t="s">
        <v>332</v>
      </c>
      <c r="M49" s="62" t="s">
        <v>332</v>
      </c>
      <c r="N49" s="62" t="s">
        <v>332</v>
      </c>
      <c r="O49" s="61" t="s">
        <v>332</v>
      </c>
      <c r="P49" s="62" t="s">
        <v>332</v>
      </c>
      <c r="Q49" s="62" t="s">
        <v>332</v>
      </c>
      <c r="R49" s="70" t="s">
        <v>332</v>
      </c>
      <c r="S49" s="62" t="s">
        <v>332</v>
      </c>
      <c r="T49" s="62" t="s">
        <v>332</v>
      </c>
      <c r="U49" s="62" t="s">
        <v>332</v>
      </c>
      <c r="V49" s="62" t="s">
        <v>332</v>
      </c>
      <c r="W49" s="61" t="s">
        <v>332</v>
      </c>
      <c r="X49" s="62" t="s">
        <v>332</v>
      </c>
      <c r="Y49" s="62" t="s">
        <v>332</v>
      </c>
      <c r="Z49" s="70" t="s">
        <v>332</v>
      </c>
      <c r="AA49" s="62" t="s">
        <v>332</v>
      </c>
      <c r="AB49" s="62" t="s">
        <v>332</v>
      </c>
      <c r="AC49" s="62" t="s">
        <v>332</v>
      </c>
      <c r="AD49" s="62" t="s">
        <v>332</v>
      </c>
      <c r="AE49" s="61" t="s">
        <v>332</v>
      </c>
      <c r="AF49" s="62" t="s">
        <v>332</v>
      </c>
      <c r="AG49" s="62" t="s">
        <v>332</v>
      </c>
      <c r="AH49" s="70" t="s">
        <v>332</v>
      </c>
      <c r="AI49" s="62" t="s">
        <v>332</v>
      </c>
      <c r="AJ49" s="62" t="s">
        <v>332</v>
      </c>
      <c r="AK49" s="62" t="s">
        <v>332</v>
      </c>
      <c r="AL49" s="62" t="s">
        <v>332</v>
      </c>
      <c r="AM49" s="61" t="s">
        <v>332</v>
      </c>
      <c r="AN49" s="62" t="s">
        <v>332</v>
      </c>
      <c r="AO49" s="62" t="s">
        <v>332</v>
      </c>
      <c r="AP49" s="70" t="s">
        <v>332</v>
      </c>
      <c r="AQ49" s="62" t="s">
        <v>332</v>
      </c>
      <c r="AR49" s="62" t="s">
        <v>332</v>
      </c>
      <c r="AS49" s="62" t="s">
        <v>332</v>
      </c>
      <c r="AT49" s="70" t="s">
        <v>332</v>
      </c>
      <c r="AU49" s="28">
        <f t="shared" si="67"/>
        <v>0</v>
      </c>
      <c r="AV49" s="28">
        <f t="shared" si="67"/>
        <v>0</v>
      </c>
      <c r="AW49" s="28">
        <f t="shared" si="76"/>
        <v>0</v>
      </c>
      <c r="AX49" s="351">
        <f t="shared" si="76"/>
        <v>0</v>
      </c>
      <c r="AY49" s="352">
        <f t="shared" si="76"/>
        <v>0</v>
      </c>
      <c r="AZ49" s="28">
        <f t="shared" si="77"/>
        <v>0</v>
      </c>
      <c r="BA49" s="28">
        <f t="shared" si="77"/>
        <v>0</v>
      </c>
      <c r="BB49" s="29">
        <f t="shared" si="77"/>
        <v>0</v>
      </c>
      <c r="BC49" s="28">
        <f t="shared" si="77"/>
        <v>0</v>
      </c>
      <c r="BD49" s="28">
        <f t="shared" ref="BD49:BE49" si="80">BD15+BD32</f>
        <v>0</v>
      </c>
      <c r="BE49" s="28">
        <f t="shared" si="80"/>
        <v>0</v>
      </c>
      <c r="BF49" s="28">
        <f t="shared" ref="BF49" si="81">BF15+BF32</f>
        <v>0</v>
      </c>
    </row>
    <row r="50" spans="1:58" s="17" customFormat="1" ht="11.25">
      <c r="A50" s="30" t="s">
        <v>670</v>
      </c>
      <c r="B50" s="30" t="s">
        <v>671</v>
      </c>
      <c r="C50" s="61" t="s">
        <v>332</v>
      </c>
      <c r="D50" s="62" t="s">
        <v>332</v>
      </c>
      <c r="E50" s="62" t="s">
        <v>332</v>
      </c>
      <c r="F50" s="70" t="s">
        <v>332</v>
      </c>
      <c r="G50" s="61" t="s">
        <v>332</v>
      </c>
      <c r="H50" s="62" t="s">
        <v>332</v>
      </c>
      <c r="I50" s="62" t="s">
        <v>332</v>
      </c>
      <c r="J50" s="70" t="s">
        <v>332</v>
      </c>
      <c r="K50" s="62" t="s">
        <v>332</v>
      </c>
      <c r="L50" s="62" t="s">
        <v>332</v>
      </c>
      <c r="M50" s="62" t="s">
        <v>332</v>
      </c>
      <c r="N50" s="62" t="s">
        <v>332</v>
      </c>
      <c r="O50" s="61" t="s">
        <v>332</v>
      </c>
      <c r="P50" s="62" t="s">
        <v>332</v>
      </c>
      <c r="Q50" s="62" t="s">
        <v>332</v>
      </c>
      <c r="R50" s="70" t="s">
        <v>332</v>
      </c>
      <c r="S50" s="62" t="s">
        <v>332</v>
      </c>
      <c r="T50" s="62" t="s">
        <v>332</v>
      </c>
      <c r="U50" s="62" t="s">
        <v>332</v>
      </c>
      <c r="V50" s="62" t="s">
        <v>332</v>
      </c>
      <c r="W50" s="61" t="s">
        <v>332</v>
      </c>
      <c r="X50" s="62" t="s">
        <v>332</v>
      </c>
      <c r="Y50" s="62" t="s">
        <v>332</v>
      </c>
      <c r="Z50" s="70" t="s">
        <v>332</v>
      </c>
      <c r="AA50" s="62" t="s">
        <v>332</v>
      </c>
      <c r="AB50" s="62" t="s">
        <v>332</v>
      </c>
      <c r="AC50" s="62" t="s">
        <v>332</v>
      </c>
      <c r="AD50" s="62" t="s">
        <v>332</v>
      </c>
      <c r="AE50" s="61" t="s">
        <v>332</v>
      </c>
      <c r="AF50" s="62" t="s">
        <v>332</v>
      </c>
      <c r="AG50" s="62" t="s">
        <v>332</v>
      </c>
      <c r="AH50" s="70" t="s">
        <v>332</v>
      </c>
      <c r="AI50" s="62" t="s">
        <v>332</v>
      </c>
      <c r="AJ50" s="62" t="s">
        <v>332</v>
      </c>
      <c r="AK50" s="62" t="s">
        <v>332</v>
      </c>
      <c r="AL50" s="62" t="s">
        <v>332</v>
      </c>
      <c r="AM50" s="61" t="s">
        <v>332</v>
      </c>
      <c r="AN50" s="62" t="s">
        <v>332</v>
      </c>
      <c r="AO50" s="62" t="s">
        <v>332</v>
      </c>
      <c r="AP50" s="70" t="s">
        <v>332</v>
      </c>
      <c r="AQ50" s="62" t="s">
        <v>332</v>
      </c>
      <c r="AR50" s="62" t="s">
        <v>332</v>
      </c>
      <c r="AS50" s="62" t="s">
        <v>332</v>
      </c>
      <c r="AT50" s="70" t="s">
        <v>332</v>
      </c>
      <c r="AU50" s="28">
        <f t="shared" ref="AU50:BB50" si="82">SUM(AU51:AU54)</f>
        <v>89281</v>
      </c>
      <c r="AV50" s="28">
        <f t="shared" si="82"/>
        <v>93666.300000000017</v>
      </c>
      <c r="AW50" s="28">
        <f t="shared" si="82"/>
        <v>98194.9</v>
      </c>
      <c r="AX50" s="351">
        <f t="shared" si="82"/>
        <v>101956.8</v>
      </c>
      <c r="AY50" s="352">
        <f t="shared" si="82"/>
        <v>105954.29999999999</v>
      </c>
      <c r="AZ50" s="28">
        <f t="shared" si="82"/>
        <v>108857.19999999998</v>
      </c>
      <c r="BA50" s="28">
        <f t="shared" si="82"/>
        <v>113670.59999999999</v>
      </c>
      <c r="BB50" s="29">
        <f t="shared" si="82"/>
        <v>115831</v>
      </c>
      <c r="BC50" s="28">
        <f>SUM(BC51:BC54)</f>
        <v>121103</v>
      </c>
      <c r="BD50" s="28">
        <f>SUM(BD51:BD54)</f>
        <v>118415.20000000001</v>
      </c>
      <c r="BE50" s="28">
        <f>SUM(BE51:BE54)</f>
        <v>120559.5</v>
      </c>
      <c r="BF50" s="28">
        <f>SUM(BF51:BF54)</f>
        <v>122722.1</v>
      </c>
    </row>
    <row r="51" spans="1:58" s="17" customFormat="1" ht="11.25">
      <c r="A51" s="26" t="s">
        <v>745</v>
      </c>
      <c r="B51" s="26" t="s">
        <v>662</v>
      </c>
      <c r="C51" s="61" t="s">
        <v>332</v>
      </c>
      <c r="D51" s="62" t="s">
        <v>332</v>
      </c>
      <c r="E51" s="62" t="s">
        <v>332</v>
      </c>
      <c r="F51" s="70" t="s">
        <v>332</v>
      </c>
      <c r="G51" s="61" t="s">
        <v>332</v>
      </c>
      <c r="H51" s="62" t="s">
        <v>332</v>
      </c>
      <c r="I51" s="62" t="s">
        <v>332</v>
      </c>
      <c r="J51" s="70" t="s">
        <v>332</v>
      </c>
      <c r="K51" s="62" t="s">
        <v>332</v>
      </c>
      <c r="L51" s="62" t="s">
        <v>332</v>
      </c>
      <c r="M51" s="62" t="s">
        <v>332</v>
      </c>
      <c r="N51" s="62" t="s">
        <v>332</v>
      </c>
      <c r="O51" s="61" t="s">
        <v>332</v>
      </c>
      <c r="P51" s="62" t="s">
        <v>332</v>
      </c>
      <c r="Q51" s="62" t="s">
        <v>332</v>
      </c>
      <c r="R51" s="70" t="s">
        <v>332</v>
      </c>
      <c r="S51" s="62" t="s">
        <v>332</v>
      </c>
      <c r="T51" s="62" t="s">
        <v>332</v>
      </c>
      <c r="U51" s="62" t="s">
        <v>332</v>
      </c>
      <c r="V51" s="62" t="s">
        <v>332</v>
      </c>
      <c r="W51" s="61" t="s">
        <v>332</v>
      </c>
      <c r="X51" s="62" t="s">
        <v>332</v>
      </c>
      <c r="Y51" s="62" t="s">
        <v>332</v>
      </c>
      <c r="Z51" s="70" t="s">
        <v>332</v>
      </c>
      <c r="AA51" s="62" t="s">
        <v>332</v>
      </c>
      <c r="AB51" s="62" t="s">
        <v>332</v>
      </c>
      <c r="AC51" s="62" t="s">
        <v>332</v>
      </c>
      <c r="AD51" s="62" t="s">
        <v>332</v>
      </c>
      <c r="AE51" s="61" t="s">
        <v>332</v>
      </c>
      <c r="AF51" s="62" t="s">
        <v>332</v>
      </c>
      <c r="AG51" s="62" t="s">
        <v>332</v>
      </c>
      <c r="AH51" s="70" t="s">
        <v>332</v>
      </c>
      <c r="AI51" s="62" t="s">
        <v>332</v>
      </c>
      <c r="AJ51" s="62" t="s">
        <v>332</v>
      </c>
      <c r="AK51" s="62" t="s">
        <v>332</v>
      </c>
      <c r="AL51" s="62" t="s">
        <v>332</v>
      </c>
      <c r="AM51" s="61" t="s">
        <v>332</v>
      </c>
      <c r="AN51" s="62" t="s">
        <v>332</v>
      </c>
      <c r="AO51" s="62" t="s">
        <v>332</v>
      </c>
      <c r="AP51" s="70" t="s">
        <v>332</v>
      </c>
      <c r="AQ51" s="62" t="s">
        <v>332</v>
      </c>
      <c r="AR51" s="62" t="s">
        <v>332</v>
      </c>
      <c r="AS51" s="62" t="s">
        <v>332</v>
      </c>
      <c r="AT51" s="70" t="s">
        <v>332</v>
      </c>
      <c r="AU51" s="28">
        <f t="shared" ref="AU51:BB51" si="83">AU17+AU34</f>
        <v>78538.399999999994</v>
      </c>
      <c r="AV51" s="28">
        <f t="shared" si="83"/>
        <v>82700.700000000012</v>
      </c>
      <c r="AW51" s="28">
        <f t="shared" si="83"/>
        <v>86951</v>
      </c>
      <c r="AX51" s="351">
        <f t="shared" si="83"/>
        <v>90252</v>
      </c>
      <c r="AY51" s="352">
        <f t="shared" si="83"/>
        <v>94335.099999999991</v>
      </c>
      <c r="AZ51" s="28">
        <f t="shared" si="83"/>
        <v>97566.299999999988</v>
      </c>
      <c r="BA51" s="28">
        <f t="shared" si="83"/>
        <v>102492.8</v>
      </c>
      <c r="BB51" s="29">
        <f t="shared" si="83"/>
        <v>105655.2</v>
      </c>
      <c r="BC51" s="28">
        <f t="shared" ref="BC51" si="84">BC17+BC34</f>
        <v>109300</v>
      </c>
      <c r="BD51" s="28">
        <f t="shared" ref="BD51:BE51" si="85">BD17+BD34</f>
        <v>103401.60000000001</v>
      </c>
      <c r="BE51" s="28">
        <f t="shared" si="85"/>
        <v>106993.7</v>
      </c>
      <c r="BF51" s="28">
        <f t="shared" ref="BF51" si="86">BF17+BF34</f>
        <v>111525.8</v>
      </c>
    </row>
    <row r="52" spans="1:58" s="17" customFormat="1" ht="11.25">
      <c r="A52" s="26" t="s">
        <v>746</v>
      </c>
      <c r="B52" s="26" t="s">
        <v>663</v>
      </c>
      <c r="C52" s="61" t="s">
        <v>332</v>
      </c>
      <c r="D52" s="62" t="s">
        <v>332</v>
      </c>
      <c r="E52" s="62" t="s">
        <v>332</v>
      </c>
      <c r="F52" s="70" t="s">
        <v>332</v>
      </c>
      <c r="G52" s="61" t="s">
        <v>332</v>
      </c>
      <c r="H52" s="62" t="s">
        <v>332</v>
      </c>
      <c r="I52" s="62" t="s">
        <v>332</v>
      </c>
      <c r="J52" s="70" t="s">
        <v>332</v>
      </c>
      <c r="K52" s="62" t="s">
        <v>332</v>
      </c>
      <c r="L52" s="62" t="s">
        <v>332</v>
      </c>
      <c r="M52" s="62" t="s">
        <v>332</v>
      </c>
      <c r="N52" s="62" t="s">
        <v>332</v>
      </c>
      <c r="O52" s="61" t="s">
        <v>332</v>
      </c>
      <c r="P52" s="62" t="s">
        <v>332</v>
      </c>
      <c r="Q52" s="62" t="s">
        <v>332</v>
      </c>
      <c r="R52" s="70" t="s">
        <v>332</v>
      </c>
      <c r="S52" s="62" t="s">
        <v>332</v>
      </c>
      <c r="T52" s="62" t="s">
        <v>332</v>
      </c>
      <c r="U52" s="62" t="s">
        <v>332</v>
      </c>
      <c r="V52" s="62" t="s">
        <v>332</v>
      </c>
      <c r="W52" s="61" t="s">
        <v>332</v>
      </c>
      <c r="X52" s="62" t="s">
        <v>332</v>
      </c>
      <c r="Y52" s="62" t="s">
        <v>332</v>
      </c>
      <c r="Z52" s="70" t="s">
        <v>332</v>
      </c>
      <c r="AA52" s="62" t="s">
        <v>332</v>
      </c>
      <c r="AB52" s="62" t="s">
        <v>332</v>
      </c>
      <c r="AC52" s="62" t="s">
        <v>332</v>
      </c>
      <c r="AD52" s="62" t="s">
        <v>332</v>
      </c>
      <c r="AE52" s="61" t="s">
        <v>332</v>
      </c>
      <c r="AF52" s="62" t="s">
        <v>332</v>
      </c>
      <c r="AG52" s="62" t="s">
        <v>332</v>
      </c>
      <c r="AH52" s="70" t="s">
        <v>332</v>
      </c>
      <c r="AI52" s="62" t="s">
        <v>332</v>
      </c>
      <c r="AJ52" s="62" t="s">
        <v>332</v>
      </c>
      <c r="AK52" s="62" t="s">
        <v>332</v>
      </c>
      <c r="AL52" s="62" t="s">
        <v>332</v>
      </c>
      <c r="AM52" s="61" t="s">
        <v>332</v>
      </c>
      <c r="AN52" s="62" t="s">
        <v>332</v>
      </c>
      <c r="AO52" s="62" t="s">
        <v>332</v>
      </c>
      <c r="AP52" s="70" t="s">
        <v>332</v>
      </c>
      <c r="AQ52" s="62" t="s">
        <v>332</v>
      </c>
      <c r="AR52" s="62" t="s">
        <v>332</v>
      </c>
      <c r="AS52" s="62" t="s">
        <v>332</v>
      </c>
      <c r="AT52" s="70" t="s">
        <v>332</v>
      </c>
      <c r="AU52" s="28">
        <f t="shared" ref="AU52:BB52" si="87">AU18+AU35</f>
        <v>9633.5999999999985</v>
      </c>
      <c r="AV52" s="28">
        <f t="shared" si="87"/>
        <v>9811</v>
      </c>
      <c r="AW52" s="28">
        <f t="shared" si="87"/>
        <v>10079</v>
      </c>
      <c r="AX52" s="351">
        <f t="shared" si="87"/>
        <v>10530.8</v>
      </c>
      <c r="AY52" s="352">
        <f t="shared" si="87"/>
        <v>10307.9</v>
      </c>
      <c r="AZ52" s="28">
        <f t="shared" si="87"/>
        <v>9876.5</v>
      </c>
      <c r="BA52" s="28">
        <f t="shared" si="87"/>
        <v>9775.9</v>
      </c>
      <c r="BB52" s="29">
        <f t="shared" si="87"/>
        <v>8554.5</v>
      </c>
      <c r="BC52" s="28">
        <f t="shared" ref="BC52" si="88">BC18+BC35</f>
        <v>10187.199999999999</v>
      </c>
      <c r="BD52" s="28">
        <f t="shared" ref="BD52:BE52" si="89">BD18+BD35</f>
        <v>13363.1</v>
      </c>
      <c r="BE52" s="28">
        <f t="shared" si="89"/>
        <v>11954.4</v>
      </c>
      <c r="BF52" s="28">
        <f t="shared" ref="BF52" si="90">BF18+BF35</f>
        <v>9562.2999999999993</v>
      </c>
    </row>
    <row r="53" spans="1:58" s="17" customFormat="1" ht="11.25">
      <c r="A53" s="26" t="s">
        <v>747</v>
      </c>
      <c r="B53" s="26" t="s">
        <v>664</v>
      </c>
      <c r="C53" s="61" t="s">
        <v>332</v>
      </c>
      <c r="D53" s="62" t="s">
        <v>332</v>
      </c>
      <c r="E53" s="62" t="s">
        <v>332</v>
      </c>
      <c r="F53" s="70" t="s">
        <v>332</v>
      </c>
      <c r="G53" s="61" t="s">
        <v>332</v>
      </c>
      <c r="H53" s="62" t="s">
        <v>332</v>
      </c>
      <c r="I53" s="62" t="s">
        <v>332</v>
      </c>
      <c r="J53" s="70" t="s">
        <v>332</v>
      </c>
      <c r="K53" s="62" t="s">
        <v>332</v>
      </c>
      <c r="L53" s="62" t="s">
        <v>332</v>
      </c>
      <c r="M53" s="62" t="s">
        <v>332</v>
      </c>
      <c r="N53" s="62" t="s">
        <v>332</v>
      </c>
      <c r="O53" s="61" t="s">
        <v>332</v>
      </c>
      <c r="P53" s="62" t="s">
        <v>332</v>
      </c>
      <c r="Q53" s="62" t="s">
        <v>332</v>
      </c>
      <c r="R53" s="70" t="s">
        <v>332</v>
      </c>
      <c r="S53" s="62" t="s">
        <v>332</v>
      </c>
      <c r="T53" s="62" t="s">
        <v>332</v>
      </c>
      <c r="U53" s="62" t="s">
        <v>332</v>
      </c>
      <c r="V53" s="62" t="s">
        <v>332</v>
      </c>
      <c r="W53" s="61" t="s">
        <v>332</v>
      </c>
      <c r="X53" s="62" t="s">
        <v>332</v>
      </c>
      <c r="Y53" s="62" t="s">
        <v>332</v>
      </c>
      <c r="Z53" s="70" t="s">
        <v>332</v>
      </c>
      <c r="AA53" s="62" t="s">
        <v>332</v>
      </c>
      <c r="AB53" s="62" t="s">
        <v>332</v>
      </c>
      <c r="AC53" s="62" t="s">
        <v>332</v>
      </c>
      <c r="AD53" s="62" t="s">
        <v>332</v>
      </c>
      <c r="AE53" s="61" t="s">
        <v>332</v>
      </c>
      <c r="AF53" s="62" t="s">
        <v>332</v>
      </c>
      <c r="AG53" s="62" t="s">
        <v>332</v>
      </c>
      <c r="AH53" s="70" t="s">
        <v>332</v>
      </c>
      <c r="AI53" s="62" t="s">
        <v>332</v>
      </c>
      <c r="AJ53" s="62" t="s">
        <v>332</v>
      </c>
      <c r="AK53" s="62" t="s">
        <v>332</v>
      </c>
      <c r="AL53" s="62" t="s">
        <v>332</v>
      </c>
      <c r="AM53" s="61" t="s">
        <v>332</v>
      </c>
      <c r="AN53" s="62" t="s">
        <v>332</v>
      </c>
      <c r="AO53" s="62" t="s">
        <v>332</v>
      </c>
      <c r="AP53" s="70" t="s">
        <v>332</v>
      </c>
      <c r="AQ53" s="62" t="s">
        <v>332</v>
      </c>
      <c r="AR53" s="62" t="s">
        <v>332</v>
      </c>
      <c r="AS53" s="62" t="s">
        <v>332</v>
      </c>
      <c r="AT53" s="70" t="s">
        <v>332</v>
      </c>
      <c r="AU53" s="28">
        <f t="shared" ref="AU53:BB53" si="91">AU19+AU36</f>
        <v>1109</v>
      </c>
      <c r="AV53" s="28">
        <f t="shared" si="91"/>
        <v>1154.6000000000001</v>
      </c>
      <c r="AW53" s="28">
        <f t="shared" si="91"/>
        <v>1164.9000000000001</v>
      </c>
      <c r="AX53" s="351">
        <f t="shared" si="91"/>
        <v>1174</v>
      </c>
      <c r="AY53" s="352">
        <f t="shared" si="91"/>
        <v>1311.2999999999997</v>
      </c>
      <c r="AZ53" s="28">
        <f t="shared" si="91"/>
        <v>1414.4000000000005</v>
      </c>
      <c r="BA53" s="28">
        <f t="shared" si="91"/>
        <v>1401.9</v>
      </c>
      <c r="BB53" s="29">
        <f t="shared" si="91"/>
        <v>1619.8000000000004</v>
      </c>
      <c r="BC53" s="28">
        <f t="shared" ref="BC53:BC54" si="92">BC19+BC36</f>
        <v>1614.5</v>
      </c>
      <c r="BD53" s="28">
        <f t="shared" ref="BD53:BE53" si="93">BD19+BD36</f>
        <v>1646.6000000000001</v>
      </c>
      <c r="BE53" s="28">
        <f t="shared" si="93"/>
        <v>1608.1</v>
      </c>
      <c r="BF53" s="28">
        <f t="shared" ref="BF53" si="94">BF19+BF36</f>
        <v>1630.5</v>
      </c>
    </row>
    <row r="54" spans="1:58" s="17" customFormat="1" ht="11.25">
      <c r="A54" s="26" t="s">
        <v>886</v>
      </c>
      <c r="B54" s="26" t="s">
        <v>886</v>
      </c>
      <c r="C54" s="61"/>
      <c r="D54" s="62"/>
      <c r="E54" s="62"/>
      <c r="F54" s="70"/>
      <c r="G54" s="61" t="s">
        <v>332</v>
      </c>
      <c r="H54" s="62" t="s">
        <v>332</v>
      </c>
      <c r="I54" s="62" t="s">
        <v>332</v>
      </c>
      <c r="J54" s="70" t="s">
        <v>332</v>
      </c>
      <c r="K54" s="62" t="s">
        <v>332</v>
      </c>
      <c r="L54" s="62" t="s">
        <v>332</v>
      </c>
      <c r="M54" s="62" t="s">
        <v>332</v>
      </c>
      <c r="N54" s="62" t="s">
        <v>332</v>
      </c>
      <c r="O54" s="61" t="s">
        <v>332</v>
      </c>
      <c r="P54" s="62" t="s">
        <v>332</v>
      </c>
      <c r="Q54" s="62" t="s">
        <v>332</v>
      </c>
      <c r="R54" s="70" t="s">
        <v>332</v>
      </c>
      <c r="S54" s="62" t="s">
        <v>332</v>
      </c>
      <c r="T54" s="62" t="s">
        <v>332</v>
      </c>
      <c r="U54" s="62" t="s">
        <v>332</v>
      </c>
      <c r="V54" s="62" t="s">
        <v>332</v>
      </c>
      <c r="W54" s="61" t="s">
        <v>332</v>
      </c>
      <c r="X54" s="62" t="s">
        <v>332</v>
      </c>
      <c r="Y54" s="62" t="s">
        <v>332</v>
      </c>
      <c r="Z54" s="70" t="s">
        <v>332</v>
      </c>
      <c r="AA54" s="62" t="s">
        <v>332</v>
      </c>
      <c r="AB54" s="62" t="s">
        <v>332</v>
      </c>
      <c r="AC54" s="62" t="s">
        <v>332</v>
      </c>
      <c r="AD54" s="62" t="s">
        <v>332</v>
      </c>
      <c r="AE54" s="61" t="s">
        <v>332</v>
      </c>
      <c r="AF54" s="62" t="s">
        <v>332</v>
      </c>
      <c r="AG54" s="62" t="s">
        <v>332</v>
      </c>
      <c r="AH54" s="70" t="s">
        <v>332</v>
      </c>
      <c r="AI54" s="62" t="s">
        <v>332</v>
      </c>
      <c r="AJ54" s="62" t="s">
        <v>332</v>
      </c>
      <c r="AK54" s="62" t="s">
        <v>332</v>
      </c>
      <c r="AL54" s="62" t="s">
        <v>332</v>
      </c>
      <c r="AM54" s="61" t="s">
        <v>332</v>
      </c>
      <c r="AN54" s="62" t="s">
        <v>332</v>
      </c>
      <c r="AO54" s="62" t="s">
        <v>332</v>
      </c>
      <c r="AP54" s="70" t="s">
        <v>332</v>
      </c>
      <c r="AQ54" s="62" t="s">
        <v>332</v>
      </c>
      <c r="AR54" s="62" t="s">
        <v>332</v>
      </c>
      <c r="AS54" s="62" t="s">
        <v>332</v>
      </c>
      <c r="AT54" s="70" t="s">
        <v>332</v>
      </c>
      <c r="AU54" s="28">
        <f t="shared" ref="AU54:BB54" si="95">AU20+AU37</f>
        <v>0</v>
      </c>
      <c r="AV54" s="28">
        <f t="shared" si="95"/>
        <v>0</v>
      </c>
      <c r="AW54" s="28">
        <f t="shared" si="95"/>
        <v>0</v>
      </c>
      <c r="AX54" s="351">
        <f t="shared" si="95"/>
        <v>0</v>
      </c>
      <c r="AY54" s="352">
        <f t="shared" si="95"/>
        <v>0</v>
      </c>
      <c r="AZ54" s="28">
        <f t="shared" si="95"/>
        <v>0</v>
      </c>
      <c r="BA54" s="28">
        <f t="shared" si="95"/>
        <v>0</v>
      </c>
      <c r="BB54" s="29">
        <f t="shared" si="95"/>
        <v>1.5</v>
      </c>
      <c r="BC54" s="28">
        <f t="shared" si="92"/>
        <v>1.3</v>
      </c>
      <c r="BD54" s="28">
        <f t="shared" ref="BD54:BE54" si="96">BD20+BD37</f>
        <v>3.9000000000000004</v>
      </c>
      <c r="BE54" s="28">
        <f t="shared" si="96"/>
        <v>3.3</v>
      </c>
      <c r="BF54" s="28">
        <f t="shared" ref="BF54" si="97">BF20+BF37</f>
        <v>3.5</v>
      </c>
    </row>
    <row r="55" spans="1:58" s="17" customFormat="1" ht="11.25">
      <c r="A55" s="257"/>
      <c r="B55" s="257"/>
      <c r="C55" s="27"/>
      <c r="D55" s="28"/>
      <c r="E55" s="28"/>
      <c r="F55" s="29"/>
      <c r="G55" s="27"/>
      <c r="H55" s="28"/>
      <c r="I55" s="28"/>
      <c r="J55" s="29"/>
      <c r="K55" s="28"/>
      <c r="L55" s="28"/>
      <c r="M55" s="28"/>
      <c r="N55" s="28"/>
      <c r="O55" s="27"/>
      <c r="P55" s="28"/>
      <c r="Q55" s="28"/>
      <c r="R55" s="29"/>
      <c r="S55" s="28"/>
      <c r="T55" s="28"/>
      <c r="U55" s="28"/>
      <c r="V55" s="28"/>
      <c r="W55" s="27"/>
      <c r="X55" s="28"/>
      <c r="Y55" s="28"/>
      <c r="Z55" s="29"/>
      <c r="AA55" s="28"/>
      <c r="AB55" s="28"/>
      <c r="AC55" s="28"/>
      <c r="AD55" s="28"/>
      <c r="AE55" s="27"/>
      <c r="AF55" s="28"/>
      <c r="AG55" s="28"/>
      <c r="AH55" s="29"/>
      <c r="AI55" s="28"/>
      <c r="AJ55" s="28"/>
      <c r="AK55" s="28"/>
      <c r="AL55" s="28"/>
      <c r="AM55" s="27"/>
      <c r="AN55" s="28"/>
      <c r="AO55" s="28"/>
      <c r="AP55" s="29"/>
      <c r="AQ55" s="28"/>
      <c r="AR55" s="28"/>
      <c r="AS55" s="28"/>
      <c r="AT55" s="29"/>
      <c r="AX55" s="390"/>
      <c r="AY55" s="391"/>
      <c r="BB55" s="255"/>
    </row>
    <row r="56" spans="1:58" s="176" customFormat="1" ht="11.25">
      <c r="A56" s="51" t="s">
        <v>751</v>
      </c>
      <c r="B56" s="51" t="s">
        <v>673</v>
      </c>
      <c r="C56" s="258" t="s">
        <v>332</v>
      </c>
      <c r="D56" s="259" t="s">
        <v>332</v>
      </c>
      <c r="E56" s="259" t="s">
        <v>332</v>
      </c>
      <c r="F56" s="260" t="s">
        <v>332</v>
      </c>
      <c r="G56" s="258" t="s">
        <v>332</v>
      </c>
      <c r="H56" s="259" t="s">
        <v>332</v>
      </c>
      <c r="I56" s="259" t="s">
        <v>332</v>
      </c>
      <c r="J56" s="260" t="s">
        <v>332</v>
      </c>
      <c r="K56" s="259" t="s">
        <v>332</v>
      </c>
      <c r="L56" s="259" t="s">
        <v>332</v>
      </c>
      <c r="M56" s="259" t="s">
        <v>332</v>
      </c>
      <c r="N56" s="259" t="s">
        <v>332</v>
      </c>
      <c r="O56" s="258" t="s">
        <v>332</v>
      </c>
      <c r="P56" s="259" t="s">
        <v>332</v>
      </c>
      <c r="Q56" s="259" t="s">
        <v>332</v>
      </c>
      <c r="R56" s="260" t="s">
        <v>332</v>
      </c>
      <c r="S56" s="259" t="s">
        <v>332</v>
      </c>
      <c r="T56" s="259" t="s">
        <v>332</v>
      </c>
      <c r="U56" s="259" t="s">
        <v>332</v>
      </c>
      <c r="V56" s="259" t="s">
        <v>332</v>
      </c>
      <c r="W56" s="258" t="s">
        <v>332</v>
      </c>
      <c r="X56" s="259" t="s">
        <v>332</v>
      </c>
      <c r="Y56" s="259" t="s">
        <v>332</v>
      </c>
      <c r="Z56" s="260" t="s">
        <v>332</v>
      </c>
      <c r="AA56" s="259" t="s">
        <v>332</v>
      </c>
      <c r="AB56" s="259" t="s">
        <v>332</v>
      </c>
      <c r="AC56" s="259" t="s">
        <v>332</v>
      </c>
      <c r="AD56" s="259" t="s">
        <v>332</v>
      </c>
      <c r="AE56" s="258" t="s">
        <v>332</v>
      </c>
      <c r="AF56" s="259" t="s">
        <v>332</v>
      </c>
      <c r="AG56" s="259" t="s">
        <v>332</v>
      </c>
      <c r="AH56" s="260" t="s">
        <v>332</v>
      </c>
      <c r="AI56" s="259" t="s">
        <v>332</v>
      </c>
      <c r="AJ56" s="259" t="s">
        <v>332</v>
      </c>
      <c r="AK56" s="259" t="s">
        <v>332</v>
      </c>
      <c r="AL56" s="259" t="s">
        <v>332</v>
      </c>
      <c r="AM56" s="258" t="s">
        <v>332</v>
      </c>
      <c r="AN56" s="259" t="s">
        <v>332</v>
      </c>
      <c r="AO56" s="259" t="s">
        <v>332</v>
      </c>
      <c r="AP56" s="260" t="s">
        <v>332</v>
      </c>
      <c r="AQ56" s="259" t="s">
        <v>332</v>
      </c>
      <c r="AR56" s="259" t="s">
        <v>332</v>
      </c>
      <c r="AS56" s="259" t="s">
        <v>332</v>
      </c>
      <c r="AT56" s="260" t="s">
        <v>332</v>
      </c>
      <c r="AU56" s="261">
        <f t="shared" ref="AU56:AY56" si="98">AU41/AU40</f>
        <v>0.86080125033929011</v>
      </c>
      <c r="AV56" s="261">
        <f t="shared" si="98"/>
        <v>0.86374153696001044</v>
      </c>
      <c r="AW56" s="261">
        <f t="shared" si="98"/>
        <v>0.86732112336004008</v>
      </c>
      <c r="AX56" s="392">
        <f t="shared" si="98"/>
        <v>0.86701500957527233</v>
      </c>
      <c r="AY56" s="393">
        <f t="shared" si="98"/>
        <v>0.87263982290992037</v>
      </c>
      <c r="AZ56" s="261">
        <f t="shared" ref="AZ56:BC56" si="99">AZ41/AZ40</f>
        <v>0.87794392523364495</v>
      </c>
      <c r="BA56" s="261">
        <f t="shared" si="99"/>
        <v>0.88306061244949685</v>
      </c>
      <c r="BB56" s="335">
        <f t="shared" si="99"/>
        <v>0.89432772221141887</v>
      </c>
      <c r="BC56" s="261">
        <f t="shared" si="99"/>
        <v>0.88391626005496127</v>
      </c>
      <c r="BD56" s="261">
        <f t="shared" ref="BD56:BE56" si="100">BD41/BD40</f>
        <v>0.85337369672460472</v>
      </c>
      <c r="BE56" s="261">
        <f t="shared" si="100"/>
        <v>0.86707201572263004</v>
      </c>
      <c r="BF56" s="261">
        <f t="shared" ref="BF56" si="101">BF41/BF40</f>
        <v>0.88789561910083459</v>
      </c>
    </row>
    <row r="57" spans="1:58" s="176" customFormat="1" ht="11.25">
      <c r="A57" s="51" t="s">
        <v>752</v>
      </c>
      <c r="B57" s="51" t="s">
        <v>674</v>
      </c>
      <c r="C57" s="258" t="s">
        <v>332</v>
      </c>
      <c r="D57" s="259" t="s">
        <v>332</v>
      </c>
      <c r="E57" s="259" t="s">
        <v>332</v>
      </c>
      <c r="F57" s="260" t="s">
        <v>332</v>
      </c>
      <c r="G57" s="258" t="s">
        <v>332</v>
      </c>
      <c r="H57" s="259" t="s">
        <v>332</v>
      </c>
      <c r="I57" s="259" t="s">
        <v>332</v>
      </c>
      <c r="J57" s="260" t="s">
        <v>332</v>
      </c>
      <c r="K57" s="259" t="s">
        <v>332</v>
      </c>
      <c r="L57" s="259" t="s">
        <v>332</v>
      </c>
      <c r="M57" s="259" t="s">
        <v>332</v>
      </c>
      <c r="N57" s="259" t="s">
        <v>332</v>
      </c>
      <c r="O57" s="258" t="s">
        <v>332</v>
      </c>
      <c r="P57" s="259" t="s">
        <v>332</v>
      </c>
      <c r="Q57" s="259" t="s">
        <v>332</v>
      </c>
      <c r="R57" s="260" t="s">
        <v>332</v>
      </c>
      <c r="S57" s="259" t="s">
        <v>332</v>
      </c>
      <c r="T57" s="259" t="s">
        <v>332</v>
      </c>
      <c r="U57" s="259" t="s">
        <v>332</v>
      </c>
      <c r="V57" s="259" t="s">
        <v>332</v>
      </c>
      <c r="W57" s="258" t="s">
        <v>332</v>
      </c>
      <c r="X57" s="259" t="s">
        <v>332</v>
      </c>
      <c r="Y57" s="259" t="s">
        <v>332</v>
      </c>
      <c r="Z57" s="260" t="s">
        <v>332</v>
      </c>
      <c r="AA57" s="259" t="s">
        <v>332</v>
      </c>
      <c r="AB57" s="259" t="s">
        <v>332</v>
      </c>
      <c r="AC57" s="259" t="s">
        <v>332</v>
      </c>
      <c r="AD57" s="259" t="s">
        <v>332</v>
      </c>
      <c r="AE57" s="258" t="s">
        <v>332</v>
      </c>
      <c r="AF57" s="259" t="s">
        <v>332</v>
      </c>
      <c r="AG57" s="259" t="s">
        <v>332</v>
      </c>
      <c r="AH57" s="260" t="s">
        <v>332</v>
      </c>
      <c r="AI57" s="259" t="s">
        <v>332</v>
      </c>
      <c r="AJ57" s="259" t="s">
        <v>332</v>
      </c>
      <c r="AK57" s="259" t="s">
        <v>332</v>
      </c>
      <c r="AL57" s="259" t="s">
        <v>332</v>
      </c>
      <c r="AM57" s="258" t="s">
        <v>332</v>
      </c>
      <c r="AN57" s="259" t="s">
        <v>332</v>
      </c>
      <c r="AO57" s="259" t="s">
        <v>332</v>
      </c>
      <c r="AP57" s="260" t="s">
        <v>332</v>
      </c>
      <c r="AQ57" s="259" t="s">
        <v>332</v>
      </c>
      <c r="AR57" s="259" t="s">
        <v>332</v>
      </c>
      <c r="AS57" s="259" t="s">
        <v>332</v>
      </c>
      <c r="AT57" s="260" t="s">
        <v>332</v>
      </c>
      <c r="AU57" s="261">
        <f t="shared" ref="AU57:AY57" si="102">AU42/AU40</f>
        <v>0.10919783029358454</v>
      </c>
      <c r="AV57" s="261">
        <f t="shared" si="102"/>
        <v>0.10630193436445215</v>
      </c>
      <c r="AW57" s="261">
        <f t="shared" si="102"/>
        <v>0.10433590839731152</v>
      </c>
      <c r="AX57" s="392">
        <f t="shared" si="102"/>
        <v>0.1051130803209923</v>
      </c>
      <c r="AY57" s="393">
        <f t="shared" si="102"/>
        <v>9.8992319752546909E-2</v>
      </c>
      <c r="AZ57" s="261">
        <f t="shared" ref="AZ57:BC57" si="103">AZ42/AZ40</f>
        <v>9.2304996405463705E-2</v>
      </c>
      <c r="BA57" s="261">
        <f t="shared" si="103"/>
        <v>8.7641290644590836E-2</v>
      </c>
      <c r="BB57" s="335">
        <f t="shared" si="103"/>
        <v>7.5824547460622088E-2</v>
      </c>
      <c r="BC57" s="261">
        <f t="shared" si="103"/>
        <v>8.6179615271592944E-2</v>
      </c>
      <c r="BD57" s="261">
        <f t="shared" ref="BD57:BE57" si="104">BD42/BD40</f>
        <v>0.11439678849231702</v>
      </c>
      <c r="BE57" s="261">
        <f t="shared" si="104"/>
        <v>0.10052915183780867</v>
      </c>
      <c r="BF57" s="261">
        <f t="shared" ref="BF57" si="105">BF42/BF40</f>
        <v>7.9146043729621779E-2</v>
      </c>
    </row>
    <row r="58" spans="1:58" s="176" customFormat="1" ht="11.25">
      <c r="A58" s="51" t="s">
        <v>887</v>
      </c>
      <c r="B58" s="51" t="s">
        <v>888</v>
      </c>
      <c r="C58" s="258" t="s">
        <v>332</v>
      </c>
      <c r="D58" s="259" t="s">
        <v>332</v>
      </c>
      <c r="E58" s="259" t="s">
        <v>332</v>
      </c>
      <c r="F58" s="260" t="s">
        <v>332</v>
      </c>
      <c r="G58" s="258" t="s">
        <v>332</v>
      </c>
      <c r="H58" s="259" t="s">
        <v>332</v>
      </c>
      <c r="I58" s="259" t="s">
        <v>332</v>
      </c>
      <c r="J58" s="260" t="s">
        <v>332</v>
      </c>
      <c r="K58" s="259" t="s">
        <v>332</v>
      </c>
      <c r="L58" s="259" t="s">
        <v>332</v>
      </c>
      <c r="M58" s="259" t="s">
        <v>332</v>
      </c>
      <c r="N58" s="259" t="s">
        <v>332</v>
      </c>
      <c r="O58" s="258" t="s">
        <v>332</v>
      </c>
      <c r="P58" s="259" t="s">
        <v>332</v>
      </c>
      <c r="Q58" s="259" t="s">
        <v>332</v>
      </c>
      <c r="R58" s="260" t="s">
        <v>332</v>
      </c>
      <c r="S58" s="259" t="s">
        <v>332</v>
      </c>
      <c r="T58" s="259" t="s">
        <v>332</v>
      </c>
      <c r="U58" s="259" t="s">
        <v>332</v>
      </c>
      <c r="V58" s="259" t="s">
        <v>332</v>
      </c>
      <c r="W58" s="258" t="s">
        <v>332</v>
      </c>
      <c r="X58" s="259" t="s">
        <v>332</v>
      </c>
      <c r="Y58" s="259" t="s">
        <v>332</v>
      </c>
      <c r="Z58" s="260" t="s">
        <v>332</v>
      </c>
      <c r="AA58" s="259" t="s">
        <v>332</v>
      </c>
      <c r="AB58" s="259" t="s">
        <v>332</v>
      </c>
      <c r="AC58" s="259" t="s">
        <v>332</v>
      </c>
      <c r="AD58" s="259" t="s">
        <v>332</v>
      </c>
      <c r="AE58" s="258" t="s">
        <v>332</v>
      </c>
      <c r="AF58" s="259" t="s">
        <v>332</v>
      </c>
      <c r="AG58" s="259" t="s">
        <v>332</v>
      </c>
      <c r="AH58" s="260" t="s">
        <v>332</v>
      </c>
      <c r="AI58" s="259" t="s">
        <v>332</v>
      </c>
      <c r="AJ58" s="259" t="s">
        <v>332</v>
      </c>
      <c r="AK58" s="259" t="s">
        <v>332</v>
      </c>
      <c r="AL58" s="259" t="s">
        <v>332</v>
      </c>
      <c r="AM58" s="258" t="s">
        <v>332</v>
      </c>
      <c r="AN58" s="259" t="s">
        <v>332</v>
      </c>
      <c r="AO58" s="259" t="s">
        <v>332</v>
      </c>
      <c r="AP58" s="260" t="s">
        <v>332</v>
      </c>
      <c r="AQ58" s="259" t="s">
        <v>332</v>
      </c>
      <c r="AR58" s="259" t="s">
        <v>332</v>
      </c>
      <c r="AS58" s="259" t="s">
        <v>332</v>
      </c>
      <c r="AT58" s="260" t="s">
        <v>332</v>
      </c>
      <c r="AU58" s="261">
        <f t="shared" ref="AU58:BE58" si="106">(AU43+AU44)/AU40</f>
        <v>3.0000919367125178E-2</v>
      </c>
      <c r="AV58" s="261">
        <f t="shared" si="106"/>
        <v>2.9956528675537504E-2</v>
      </c>
      <c r="AW58" s="261">
        <f t="shared" si="106"/>
        <v>2.8342968242648321E-2</v>
      </c>
      <c r="AX58" s="392">
        <f t="shared" si="106"/>
        <v>2.7871910103735315E-2</v>
      </c>
      <c r="AY58" s="393">
        <f t="shared" si="106"/>
        <v>2.8367857337532689E-2</v>
      </c>
      <c r="AZ58" s="261">
        <f t="shared" si="106"/>
        <v>2.9751078360891449E-2</v>
      </c>
      <c r="BA58" s="261">
        <f t="shared" si="106"/>
        <v>2.9298096905912369E-2</v>
      </c>
      <c r="BB58" s="335">
        <f t="shared" si="106"/>
        <v>2.9847730327958944E-2</v>
      </c>
      <c r="BC58" s="261">
        <f t="shared" si="106"/>
        <v>2.9904124673445859E-2</v>
      </c>
      <c r="BD58" s="261">
        <f t="shared" si="106"/>
        <v>3.2229514783078332E-2</v>
      </c>
      <c r="BE58" s="261">
        <f t="shared" si="106"/>
        <v>3.2398832439561293E-2</v>
      </c>
      <c r="BF58" s="261">
        <f>(BF43+BF44)/BF40</f>
        <v>3.2958337169543557E-2</v>
      </c>
    </row>
    <row r="59" spans="1:58" s="17" customFormat="1" ht="11.25">
      <c r="A59" s="257"/>
      <c r="B59" s="257"/>
      <c r="C59" s="254"/>
      <c r="F59" s="255"/>
      <c r="G59" s="254"/>
      <c r="J59" s="255"/>
      <c r="O59" s="254"/>
      <c r="R59" s="255"/>
      <c r="W59" s="254"/>
      <c r="Z59" s="255"/>
      <c r="AE59" s="254"/>
      <c r="AH59" s="255"/>
      <c r="AM59" s="254"/>
      <c r="AP59" s="255"/>
      <c r="AT59" s="255"/>
      <c r="AX59" s="390"/>
      <c r="AY59" s="391"/>
      <c r="BB59" s="255"/>
    </row>
    <row r="60" spans="1:58" s="176" customFormat="1" ht="11.25">
      <c r="A60" s="51" t="s">
        <v>753</v>
      </c>
      <c r="B60" s="51" t="s">
        <v>675</v>
      </c>
      <c r="C60" s="258" t="s">
        <v>332</v>
      </c>
      <c r="D60" s="259" t="s">
        <v>332</v>
      </c>
      <c r="E60" s="259" t="s">
        <v>332</v>
      </c>
      <c r="F60" s="260" t="s">
        <v>332</v>
      </c>
      <c r="G60" s="258" t="s">
        <v>332</v>
      </c>
      <c r="H60" s="259" t="s">
        <v>332</v>
      </c>
      <c r="I60" s="259" t="s">
        <v>332</v>
      </c>
      <c r="J60" s="260" t="s">
        <v>332</v>
      </c>
      <c r="K60" s="259" t="s">
        <v>332</v>
      </c>
      <c r="L60" s="259" t="s">
        <v>332</v>
      </c>
      <c r="M60" s="259" t="s">
        <v>332</v>
      </c>
      <c r="N60" s="259" t="s">
        <v>332</v>
      </c>
      <c r="O60" s="258" t="s">
        <v>332</v>
      </c>
      <c r="P60" s="259" t="s">
        <v>332</v>
      </c>
      <c r="Q60" s="259" t="s">
        <v>332</v>
      </c>
      <c r="R60" s="260" t="s">
        <v>332</v>
      </c>
      <c r="S60" s="259" t="s">
        <v>332</v>
      </c>
      <c r="T60" s="259" t="s">
        <v>332</v>
      </c>
      <c r="U60" s="259" t="s">
        <v>332</v>
      </c>
      <c r="V60" s="259" t="s">
        <v>332</v>
      </c>
      <c r="W60" s="258" t="s">
        <v>332</v>
      </c>
      <c r="X60" s="259" t="s">
        <v>332</v>
      </c>
      <c r="Y60" s="259" t="s">
        <v>332</v>
      </c>
      <c r="Z60" s="260" t="s">
        <v>332</v>
      </c>
      <c r="AA60" s="259" t="s">
        <v>332</v>
      </c>
      <c r="AB60" s="259" t="s">
        <v>332</v>
      </c>
      <c r="AC60" s="259" t="s">
        <v>332</v>
      </c>
      <c r="AD60" s="259" t="s">
        <v>332</v>
      </c>
      <c r="AE60" s="258" t="s">
        <v>332</v>
      </c>
      <c r="AF60" s="259" t="s">
        <v>332</v>
      </c>
      <c r="AG60" s="259" t="s">
        <v>332</v>
      </c>
      <c r="AH60" s="260" t="s">
        <v>332</v>
      </c>
      <c r="AI60" s="259" t="s">
        <v>332</v>
      </c>
      <c r="AJ60" s="259" t="s">
        <v>332</v>
      </c>
      <c r="AK60" s="259" t="s">
        <v>332</v>
      </c>
      <c r="AL60" s="259" t="s">
        <v>332</v>
      </c>
      <c r="AM60" s="258" t="s">
        <v>332</v>
      </c>
      <c r="AN60" s="259" t="s">
        <v>332</v>
      </c>
      <c r="AO60" s="259" t="s">
        <v>332</v>
      </c>
      <c r="AP60" s="260" t="s">
        <v>332</v>
      </c>
      <c r="AQ60" s="259" t="s">
        <v>332</v>
      </c>
      <c r="AR60" s="259" t="s">
        <v>332</v>
      </c>
      <c r="AS60" s="259" t="s">
        <v>332</v>
      </c>
      <c r="AT60" s="260" t="s">
        <v>332</v>
      </c>
      <c r="AU60" s="262">
        <f t="shared" ref="AU60:AV61" si="107">-AU46/AU41</f>
        <v>1.4062480133250263E-3</v>
      </c>
      <c r="AV60" s="262">
        <f t="shared" si="107"/>
        <v>1.6188848165263876E-3</v>
      </c>
      <c r="AW60" s="262">
        <f t="shared" ref="AW60:AY60" si="108">-AW46/AW41</f>
        <v>1.4584625278485956E-3</v>
      </c>
      <c r="AX60" s="394">
        <f t="shared" si="108"/>
        <v>1.2637468433994126E-3</v>
      </c>
      <c r="AY60" s="395">
        <f t="shared" si="108"/>
        <v>1.2524694717183289E-3</v>
      </c>
      <c r="AZ60" s="262">
        <f t="shared" ref="AZ60:BC60" si="109">-AZ46/AZ41</f>
        <v>1.3439429423035981E-3</v>
      </c>
      <c r="BA60" s="262">
        <f t="shared" si="109"/>
        <v>1.2054591610510981E-3</v>
      </c>
      <c r="BB60" s="336">
        <f t="shared" si="109"/>
        <v>1.1646990311821696E-3</v>
      </c>
      <c r="BC60" s="262">
        <f t="shared" si="109"/>
        <v>1.7353182939081194E-3</v>
      </c>
      <c r="BD60" s="262">
        <f t="shared" ref="BD60:BE60" si="110">-BD46/BD41</f>
        <v>2.4302121973691195E-3</v>
      </c>
      <c r="BE60" s="262">
        <f t="shared" si="110"/>
        <v>2.8174396063226962E-3</v>
      </c>
      <c r="BF60" s="262">
        <f t="shared" ref="BF60" si="111">-BF46/BF41</f>
        <v>3.0598535239268381E-3</v>
      </c>
    </row>
    <row r="61" spans="1:58" s="176" customFormat="1" ht="11.25">
      <c r="A61" s="51" t="s">
        <v>754</v>
      </c>
      <c r="B61" s="51" t="s">
        <v>676</v>
      </c>
      <c r="C61" s="258" t="s">
        <v>332</v>
      </c>
      <c r="D61" s="259" t="s">
        <v>332</v>
      </c>
      <c r="E61" s="259" t="s">
        <v>332</v>
      </c>
      <c r="F61" s="260" t="s">
        <v>332</v>
      </c>
      <c r="G61" s="258" t="s">
        <v>332</v>
      </c>
      <c r="H61" s="259" t="s">
        <v>332</v>
      </c>
      <c r="I61" s="259" t="s">
        <v>332</v>
      </c>
      <c r="J61" s="260" t="s">
        <v>332</v>
      </c>
      <c r="K61" s="259" t="s">
        <v>332</v>
      </c>
      <c r="L61" s="259" t="s">
        <v>332</v>
      </c>
      <c r="M61" s="259" t="s">
        <v>332</v>
      </c>
      <c r="N61" s="259" t="s">
        <v>332</v>
      </c>
      <c r="O61" s="258" t="s">
        <v>332</v>
      </c>
      <c r="P61" s="259" t="s">
        <v>332</v>
      </c>
      <c r="Q61" s="259" t="s">
        <v>332</v>
      </c>
      <c r="R61" s="260" t="s">
        <v>332</v>
      </c>
      <c r="S61" s="259" t="s">
        <v>332</v>
      </c>
      <c r="T61" s="259" t="s">
        <v>332</v>
      </c>
      <c r="U61" s="259" t="s">
        <v>332</v>
      </c>
      <c r="V61" s="259" t="s">
        <v>332</v>
      </c>
      <c r="W61" s="258" t="s">
        <v>332</v>
      </c>
      <c r="X61" s="259" t="s">
        <v>332</v>
      </c>
      <c r="Y61" s="259" t="s">
        <v>332</v>
      </c>
      <c r="Z61" s="260" t="s">
        <v>332</v>
      </c>
      <c r="AA61" s="259" t="s">
        <v>332</v>
      </c>
      <c r="AB61" s="259" t="s">
        <v>332</v>
      </c>
      <c r="AC61" s="259" t="s">
        <v>332</v>
      </c>
      <c r="AD61" s="259" t="s">
        <v>332</v>
      </c>
      <c r="AE61" s="258" t="s">
        <v>332</v>
      </c>
      <c r="AF61" s="259" t="s">
        <v>332</v>
      </c>
      <c r="AG61" s="259" t="s">
        <v>332</v>
      </c>
      <c r="AH61" s="260" t="s">
        <v>332</v>
      </c>
      <c r="AI61" s="259" t="s">
        <v>332</v>
      </c>
      <c r="AJ61" s="259" t="s">
        <v>332</v>
      </c>
      <c r="AK61" s="259" t="s">
        <v>332</v>
      </c>
      <c r="AL61" s="259" t="s">
        <v>332</v>
      </c>
      <c r="AM61" s="258" t="s">
        <v>332</v>
      </c>
      <c r="AN61" s="259" t="s">
        <v>332</v>
      </c>
      <c r="AO61" s="259" t="s">
        <v>332</v>
      </c>
      <c r="AP61" s="260" t="s">
        <v>332</v>
      </c>
      <c r="AQ61" s="259" t="s">
        <v>332</v>
      </c>
      <c r="AR61" s="259" t="s">
        <v>332</v>
      </c>
      <c r="AS61" s="259" t="s">
        <v>332</v>
      </c>
      <c r="AT61" s="260" t="s">
        <v>332</v>
      </c>
      <c r="AU61" s="262">
        <f t="shared" si="107"/>
        <v>3.4428842048290588E-2</v>
      </c>
      <c r="AV61" s="262">
        <f t="shared" si="107"/>
        <v>3.7627763718046811E-2</v>
      </c>
      <c r="AW61" s="262">
        <f t="shared" ref="AW61:AY61" si="112">-AW47/AW42</f>
        <v>3.7822666870322284E-2</v>
      </c>
      <c r="AX61" s="394">
        <f t="shared" si="112"/>
        <v>3.8774690569206613E-2</v>
      </c>
      <c r="AY61" s="395">
        <f t="shared" si="112"/>
        <v>3.7975510508828907E-2</v>
      </c>
      <c r="AZ61" s="262">
        <f t="shared" ref="AZ61:BC61" si="113">-AZ47/AZ42</f>
        <v>3.8474643924569438E-2</v>
      </c>
      <c r="BA61" s="262">
        <f t="shared" si="113"/>
        <v>4.0110364871764663E-2</v>
      </c>
      <c r="BB61" s="336">
        <f t="shared" si="113"/>
        <v>4.6140294147162794E-2</v>
      </c>
      <c r="BC61" s="262">
        <f t="shared" si="113"/>
        <v>4.5695550351288056E-2</v>
      </c>
      <c r="BD61" s="262">
        <f t="shared" ref="BD61:BE61" si="114">-BD47/BD42</f>
        <v>3.8279956818999636E-2</v>
      </c>
      <c r="BE61" s="262">
        <f t="shared" si="114"/>
        <v>3.9035369774919615E-2</v>
      </c>
      <c r="BF61" s="262">
        <f t="shared" ref="BF61" si="115">-BF47/BF42</f>
        <v>4.106580557171223E-2</v>
      </c>
    </row>
    <row r="62" spans="1:58" s="176" customFormat="1" ht="11.25">
      <c r="A62" s="51" t="s">
        <v>889</v>
      </c>
      <c r="B62" s="51" t="s">
        <v>890</v>
      </c>
      <c r="C62" s="258" t="s">
        <v>332</v>
      </c>
      <c r="D62" s="259" t="s">
        <v>332</v>
      </c>
      <c r="E62" s="259" t="s">
        <v>332</v>
      </c>
      <c r="F62" s="260" t="s">
        <v>332</v>
      </c>
      <c r="G62" s="258" t="s">
        <v>332</v>
      </c>
      <c r="H62" s="259" t="s">
        <v>332</v>
      </c>
      <c r="I62" s="259" t="s">
        <v>332</v>
      </c>
      <c r="J62" s="260" t="s">
        <v>332</v>
      </c>
      <c r="K62" s="259" t="s">
        <v>332</v>
      </c>
      <c r="L62" s="259" t="s">
        <v>332</v>
      </c>
      <c r="M62" s="259" t="s">
        <v>332</v>
      </c>
      <c r="N62" s="259" t="s">
        <v>332</v>
      </c>
      <c r="O62" s="258" t="s">
        <v>332</v>
      </c>
      <c r="P62" s="259" t="s">
        <v>332</v>
      </c>
      <c r="Q62" s="259" t="s">
        <v>332</v>
      </c>
      <c r="R62" s="260" t="s">
        <v>332</v>
      </c>
      <c r="S62" s="259" t="s">
        <v>332</v>
      </c>
      <c r="T62" s="259" t="s">
        <v>332</v>
      </c>
      <c r="U62" s="259" t="s">
        <v>332</v>
      </c>
      <c r="V62" s="259" t="s">
        <v>332</v>
      </c>
      <c r="W62" s="258" t="s">
        <v>332</v>
      </c>
      <c r="X62" s="259" t="s">
        <v>332</v>
      </c>
      <c r="Y62" s="259" t="s">
        <v>332</v>
      </c>
      <c r="Z62" s="260" t="s">
        <v>332</v>
      </c>
      <c r="AA62" s="259" t="s">
        <v>332</v>
      </c>
      <c r="AB62" s="259" t="s">
        <v>332</v>
      </c>
      <c r="AC62" s="259" t="s">
        <v>332</v>
      </c>
      <c r="AD62" s="259" t="s">
        <v>332</v>
      </c>
      <c r="AE62" s="258" t="s">
        <v>332</v>
      </c>
      <c r="AF62" s="259" t="s">
        <v>332</v>
      </c>
      <c r="AG62" s="259" t="s">
        <v>332</v>
      </c>
      <c r="AH62" s="260" t="s">
        <v>332</v>
      </c>
      <c r="AI62" s="259" t="s">
        <v>332</v>
      </c>
      <c r="AJ62" s="259" t="s">
        <v>332</v>
      </c>
      <c r="AK62" s="259" t="s">
        <v>332</v>
      </c>
      <c r="AL62" s="259" t="s">
        <v>332</v>
      </c>
      <c r="AM62" s="258" t="s">
        <v>332</v>
      </c>
      <c r="AN62" s="259" t="s">
        <v>332</v>
      </c>
      <c r="AO62" s="259" t="s">
        <v>332</v>
      </c>
      <c r="AP62" s="260" t="s">
        <v>332</v>
      </c>
      <c r="AQ62" s="259" t="s">
        <v>332</v>
      </c>
      <c r="AR62" s="259" t="s">
        <v>332</v>
      </c>
      <c r="AS62" s="259" t="s">
        <v>332</v>
      </c>
      <c r="AT62" s="260" t="s">
        <v>332</v>
      </c>
      <c r="AU62" s="262">
        <f t="shared" ref="AU62:BE62" si="116">(-AU48-AU49)/(AU43+AU44)</f>
        <v>0.59541789792419098</v>
      </c>
      <c r="AV62" s="262">
        <f t="shared" si="116"/>
        <v>0.59810644296703674</v>
      </c>
      <c r="AW62" s="262">
        <f t="shared" si="116"/>
        <v>0.59063114984537513</v>
      </c>
      <c r="AX62" s="394">
        <f t="shared" si="116"/>
        <v>0.59586919104991398</v>
      </c>
      <c r="AY62" s="395">
        <f t="shared" si="116"/>
        <v>0.57293600390815835</v>
      </c>
      <c r="AZ62" s="262">
        <f t="shared" si="116"/>
        <v>0.57277917056815764</v>
      </c>
      <c r="BA62" s="262">
        <f t="shared" si="116"/>
        <v>0.588233566351407</v>
      </c>
      <c r="BB62" s="336">
        <f t="shared" si="116"/>
        <v>0.54074724527660534</v>
      </c>
      <c r="BC62" s="262">
        <f t="shared" si="116"/>
        <v>0.56379245181145721</v>
      </c>
      <c r="BD62" s="262">
        <f t="shared" si="116"/>
        <v>0.57838403964543894</v>
      </c>
      <c r="BE62" s="262">
        <f t="shared" si="116"/>
        <v>0.59807442881372841</v>
      </c>
      <c r="BF62" s="262">
        <f>(-BF48-BF49)/(BF43+BF44)</f>
        <v>0.60650210716435882</v>
      </c>
    </row>
    <row r="63" spans="1:58" s="175" customFormat="1" ht="11.25">
      <c r="A63" s="263"/>
      <c r="B63" s="263"/>
      <c r="C63" s="264"/>
      <c r="D63" s="265"/>
      <c r="E63" s="265"/>
      <c r="F63" s="265"/>
      <c r="G63" s="264"/>
      <c r="H63" s="265"/>
      <c r="I63" s="265"/>
      <c r="J63" s="265"/>
      <c r="K63" s="265"/>
      <c r="L63" s="265"/>
      <c r="M63" s="265"/>
      <c r="N63" s="265"/>
      <c r="O63" s="264"/>
      <c r="P63" s="265"/>
      <c r="Q63" s="265"/>
      <c r="R63" s="265"/>
      <c r="S63" s="265"/>
      <c r="T63" s="265"/>
      <c r="U63" s="265"/>
      <c r="V63" s="265"/>
      <c r="W63" s="264"/>
      <c r="X63" s="265"/>
      <c r="Y63" s="265"/>
      <c r="Z63" s="266"/>
      <c r="AA63" s="265"/>
      <c r="AB63" s="265"/>
      <c r="AC63" s="265"/>
      <c r="AD63" s="265"/>
      <c r="AE63" s="264"/>
      <c r="AF63" s="265"/>
      <c r="AG63" s="265"/>
      <c r="AH63" s="266"/>
      <c r="AI63" s="265"/>
      <c r="AJ63" s="265"/>
      <c r="AK63" s="265"/>
      <c r="AL63" s="265"/>
      <c r="AM63" s="264"/>
      <c r="AN63" s="265"/>
      <c r="AO63" s="265"/>
      <c r="AP63" s="266"/>
      <c r="AQ63" s="265"/>
      <c r="AR63" s="265"/>
      <c r="AS63" s="265"/>
      <c r="AT63" s="266"/>
      <c r="AU63" s="267"/>
      <c r="AV63" s="267"/>
      <c r="AW63" s="267"/>
      <c r="AX63" s="267"/>
      <c r="AY63" s="267"/>
      <c r="AZ63" s="267"/>
      <c r="BA63" s="267"/>
      <c r="BB63" s="267"/>
      <c r="BC63" s="267"/>
      <c r="BD63" s="267"/>
      <c r="BE63" s="267"/>
      <c r="BF63" s="267"/>
    </row>
    <row r="64" spans="1:58" s="4" customFormat="1">
      <c r="A64" s="90" t="s">
        <v>424</v>
      </c>
      <c r="B64" s="90" t="s">
        <v>425</v>
      </c>
      <c r="C64" s="86"/>
      <c r="D64" s="87"/>
      <c r="E64" s="87"/>
      <c r="F64" s="87"/>
      <c r="G64" s="86"/>
      <c r="H64" s="87"/>
      <c r="I64" s="87"/>
      <c r="J64" s="87"/>
      <c r="K64" s="87"/>
      <c r="L64" s="87"/>
      <c r="M64" s="87"/>
      <c r="N64" s="87"/>
      <c r="O64" s="86"/>
      <c r="P64" s="87"/>
      <c r="Q64" s="87"/>
      <c r="R64" s="87"/>
      <c r="S64" s="87"/>
      <c r="T64" s="87"/>
      <c r="U64" s="87"/>
      <c r="V64" s="87"/>
      <c r="W64" s="86"/>
      <c r="X64" s="87"/>
      <c r="Y64" s="87"/>
      <c r="Z64" s="88"/>
      <c r="AA64" s="87"/>
      <c r="AB64" s="87"/>
      <c r="AC64" s="87"/>
      <c r="AD64" s="87"/>
      <c r="AE64" s="86"/>
      <c r="AF64" s="87"/>
      <c r="AG64" s="87"/>
      <c r="AH64" s="88"/>
      <c r="AI64" s="87"/>
      <c r="AJ64" s="87"/>
      <c r="AK64" s="87"/>
      <c r="AL64" s="87"/>
      <c r="AM64" s="86"/>
      <c r="AN64" s="87"/>
      <c r="AO64" s="87"/>
      <c r="AP64" s="88"/>
      <c r="AQ64" s="87"/>
      <c r="AR64" s="87"/>
      <c r="AS64" s="87"/>
      <c r="AT64" s="88"/>
      <c r="AU64" s="89"/>
      <c r="AV64" s="89"/>
      <c r="AW64" s="89"/>
      <c r="AX64" s="89"/>
      <c r="AY64" s="89"/>
      <c r="AZ64" s="89"/>
      <c r="BA64" s="89"/>
      <c r="BB64" s="89"/>
      <c r="BC64" s="89"/>
      <c r="BD64" s="89"/>
      <c r="BE64" s="89"/>
      <c r="BF64" s="89"/>
    </row>
    <row r="65" spans="1:58" ht="12.75" customHeight="1">
      <c r="A65" s="686" t="s">
        <v>677</v>
      </c>
      <c r="B65" s="686" t="s">
        <v>678</v>
      </c>
      <c r="C65" s="688" t="s">
        <v>393</v>
      </c>
      <c r="D65" s="689"/>
      <c r="E65" s="689"/>
      <c r="F65" s="689"/>
      <c r="G65" s="688">
        <v>2008</v>
      </c>
      <c r="H65" s="689"/>
      <c r="I65" s="689"/>
      <c r="J65" s="689"/>
      <c r="K65" s="688">
        <v>2009</v>
      </c>
      <c r="L65" s="689"/>
      <c r="M65" s="689"/>
      <c r="N65" s="689"/>
      <c r="O65" s="688">
        <v>2010</v>
      </c>
      <c r="P65" s="689"/>
      <c r="Q65" s="689"/>
      <c r="R65" s="689"/>
      <c r="S65" s="688">
        <v>2011</v>
      </c>
      <c r="T65" s="689"/>
      <c r="U65" s="689"/>
      <c r="V65" s="689"/>
      <c r="W65" s="692">
        <v>2012</v>
      </c>
      <c r="X65" s="693"/>
      <c r="Y65" s="693"/>
      <c r="Z65" s="694"/>
      <c r="AA65" s="692">
        <v>2013</v>
      </c>
      <c r="AB65" s="693"/>
      <c r="AC65" s="693"/>
      <c r="AD65" s="694"/>
      <c r="AE65" s="697">
        <v>2014</v>
      </c>
      <c r="AF65" s="689"/>
      <c r="AG65" s="689"/>
      <c r="AH65" s="690"/>
      <c r="AI65" s="697">
        <v>2015</v>
      </c>
      <c r="AJ65" s="689"/>
      <c r="AK65" s="689"/>
      <c r="AL65" s="690"/>
      <c r="AM65" s="697">
        <v>2016</v>
      </c>
      <c r="AN65" s="689"/>
      <c r="AO65" s="689"/>
      <c r="AP65" s="690"/>
      <c r="AQ65" s="698">
        <v>2017</v>
      </c>
      <c r="AR65" s="699"/>
      <c r="AS65" s="699"/>
      <c r="AT65" s="700"/>
      <c r="AU65" s="91"/>
      <c r="AV65" s="318"/>
      <c r="AW65" s="318"/>
      <c r="AX65" s="318"/>
      <c r="AY65" s="318"/>
      <c r="AZ65" s="318"/>
      <c r="BA65" s="318"/>
      <c r="BB65" s="318"/>
      <c r="BC65" s="318"/>
      <c r="BD65" s="318"/>
      <c r="BE65" s="318"/>
      <c r="BF65" s="318"/>
    </row>
    <row r="66" spans="1:58" s="3" customFormat="1">
      <c r="A66" s="687"/>
      <c r="B66" s="687"/>
      <c r="C66" s="5" t="s">
        <v>392</v>
      </c>
      <c r="D66" s="6" t="s">
        <v>150</v>
      </c>
      <c r="E66" s="6" t="s">
        <v>151</v>
      </c>
      <c r="F66" s="6" t="s">
        <v>152</v>
      </c>
      <c r="G66" s="5" t="s">
        <v>391</v>
      </c>
      <c r="H66" s="6" t="s">
        <v>150</v>
      </c>
      <c r="I66" s="6" t="s">
        <v>151</v>
      </c>
      <c r="J66" s="6" t="s">
        <v>152</v>
      </c>
      <c r="K66" s="5" t="s">
        <v>149</v>
      </c>
      <c r="L66" s="6" t="s">
        <v>150</v>
      </c>
      <c r="M66" s="6" t="s">
        <v>151</v>
      </c>
      <c r="N66" s="6" t="s">
        <v>152</v>
      </c>
      <c r="O66" s="5" t="s">
        <v>149</v>
      </c>
      <c r="P66" s="6" t="s">
        <v>150</v>
      </c>
      <c r="Q66" s="6" t="s">
        <v>151</v>
      </c>
      <c r="R66" s="6" t="s">
        <v>152</v>
      </c>
      <c r="S66" s="5" t="s">
        <v>149</v>
      </c>
      <c r="T66" s="6" t="s">
        <v>150</v>
      </c>
      <c r="U66" s="6" t="s">
        <v>151</v>
      </c>
      <c r="V66" s="6" t="s">
        <v>152</v>
      </c>
      <c r="W66" s="5" t="s">
        <v>149</v>
      </c>
      <c r="X66" s="6" t="s">
        <v>150</v>
      </c>
      <c r="Y66" s="6" t="s">
        <v>151</v>
      </c>
      <c r="Z66" s="7" t="s">
        <v>152</v>
      </c>
      <c r="AA66" s="5" t="s">
        <v>149</v>
      </c>
      <c r="AB66" s="6" t="s">
        <v>150</v>
      </c>
      <c r="AC66" s="6" t="s">
        <v>151</v>
      </c>
      <c r="AD66" s="7" t="s">
        <v>152</v>
      </c>
      <c r="AE66" s="8" t="s">
        <v>149</v>
      </c>
      <c r="AF66" s="9" t="s">
        <v>150</v>
      </c>
      <c r="AG66" s="9" t="s">
        <v>151</v>
      </c>
      <c r="AH66" s="10" t="s">
        <v>152</v>
      </c>
      <c r="AI66" s="9" t="s">
        <v>149</v>
      </c>
      <c r="AJ66" s="9" t="s">
        <v>150</v>
      </c>
      <c r="AK66" s="9" t="s">
        <v>151</v>
      </c>
      <c r="AL66" s="10" t="s">
        <v>152</v>
      </c>
      <c r="AM66" s="9" t="s">
        <v>149</v>
      </c>
      <c r="AN66" s="9" t="s">
        <v>150</v>
      </c>
      <c r="AO66" s="9" t="s">
        <v>151</v>
      </c>
      <c r="AP66" s="10" t="s">
        <v>152</v>
      </c>
      <c r="AQ66" s="9" t="s">
        <v>149</v>
      </c>
      <c r="AR66" s="9" t="s">
        <v>150</v>
      </c>
      <c r="AS66" s="9" t="s">
        <v>151</v>
      </c>
      <c r="AT66" s="10" t="s">
        <v>152</v>
      </c>
      <c r="AU66" s="92"/>
      <c r="AV66" s="319"/>
      <c r="AW66" s="319"/>
      <c r="AX66" s="319"/>
      <c r="AY66" s="319"/>
      <c r="AZ66" s="319"/>
      <c r="BA66" s="319"/>
      <c r="BB66" s="319"/>
      <c r="BC66" s="319"/>
      <c r="BD66" s="319"/>
      <c r="BE66" s="319"/>
      <c r="BF66" s="319"/>
    </row>
    <row r="67" spans="1:58" s="172" customFormat="1" ht="11.25">
      <c r="A67" s="22" t="s">
        <v>154</v>
      </c>
      <c r="B67" s="22" t="s">
        <v>11</v>
      </c>
      <c r="C67" s="108"/>
      <c r="D67" s="109"/>
      <c r="E67" s="55"/>
      <c r="F67" s="109"/>
      <c r="G67" s="108"/>
      <c r="H67" s="109"/>
      <c r="I67" s="55"/>
      <c r="J67" s="110"/>
      <c r="K67" s="108"/>
      <c r="L67" s="109"/>
      <c r="M67" s="55"/>
      <c r="N67" s="110"/>
      <c r="O67" s="108"/>
      <c r="P67" s="109"/>
      <c r="Q67" s="55"/>
      <c r="R67" s="110"/>
      <c r="S67" s="108"/>
      <c r="T67" s="109"/>
      <c r="U67" s="55"/>
      <c r="V67" s="110"/>
      <c r="W67" s="108"/>
      <c r="X67" s="55"/>
      <c r="Y67" s="55"/>
      <c r="Z67" s="177"/>
      <c r="AA67" s="108"/>
      <c r="AB67" s="55"/>
      <c r="AC67" s="55"/>
      <c r="AD67" s="177"/>
      <c r="AE67" s="254"/>
      <c r="AF67" s="17"/>
      <c r="AG67" s="17"/>
      <c r="AH67" s="255"/>
      <c r="AI67" s="17"/>
      <c r="AJ67" s="17"/>
      <c r="AK67" s="17"/>
      <c r="AL67" s="255"/>
      <c r="AM67" s="17"/>
      <c r="AN67" s="17"/>
      <c r="AO67" s="17"/>
      <c r="AP67" s="255"/>
      <c r="AQ67" s="17"/>
      <c r="AR67" s="17"/>
      <c r="AS67" s="17"/>
      <c r="AT67" s="255"/>
      <c r="AU67" s="307"/>
      <c r="AV67" s="79"/>
      <c r="AW67" s="79"/>
      <c r="AX67" s="347"/>
      <c r="AY67" s="347"/>
      <c r="AZ67" s="79"/>
      <c r="BA67" s="79"/>
      <c r="BB67" s="79"/>
      <c r="BC67" s="79"/>
      <c r="BD67" s="79"/>
      <c r="BE67" s="404"/>
      <c r="BF67" s="79"/>
    </row>
    <row r="68" spans="1:58" s="173" customFormat="1" ht="11.25">
      <c r="A68" s="31" t="s">
        <v>258</v>
      </c>
      <c r="B68" s="31" t="s">
        <v>95</v>
      </c>
      <c r="C68" s="61"/>
      <c r="D68" s="62"/>
      <c r="E68" s="62"/>
      <c r="F68" s="62"/>
      <c r="G68" s="61"/>
      <c r="H68" s="28"/>
      <c r="I68" s="28"/>
      <c r="J68" s="29"/>
      <c r="K68" s="27"/>
      <c r="L68" s="28"/>
      <c r="M68" s="28"/>
      <c r="N68" s="29"/>
      <c r="O68" s="27"/>
      <c r="P68" s="28"/>
      <c r="Q68" s="28"/>
      <c r="R68" s="29"/>
      <c r="S68" s="27"/>
      <c r="T68" s="28"/>
      <c r="U68" s="28"/>
      <c r="V68" s="29"/>
      <c r="W68" s="27"/>
      <c r="X68" s="28"/>
      <c r="Y68" s="28"/>
      <c r="Z68" s="29"/>
      <c r="AA68" s="27"/>
      <c r="AB68" s="28"/>
      <c r="AC68" s="28"/>
      <c r="AD68" s="29"/>
      <c r="AE68" s="27"/>
      <c r="AF68" s="28"/>
      <c r="AG68" s="28"/>
      <c r="AH68" s="29"/>
      <c r="AI68" s="28"/>
      <c r="AJ68" s="28"/>
      <c r="AK68" s="28"/>
      <c r="AL68" s="29"/>
      <c r="AM68" s="28"/>
      <c r="AN68" s="28"/>
      <c r="AO68" s="28"/>
      <c r="AP68" s="29"/>
      <c r="AQ68" s="28"/>
      <c r="AR68" s="28"/>
      <c r="AS68" s="28"/>
      <c r="AT68" s="29"/>
      <c r="AU68" s="268"/>
      <c r="AV68" s="320"/>
      <c r="AW68" s="320"/>
      <c r="AX68" s="320"/>
      <c r="AY68" s="320"/>
      <c r="AZ68" s="320"/>
      <c r="BA68" s="320"/>
      <c r="BB68" s="320"/>
      <c r="BC68" s="320"/>
      <c r="BD68" s="320"/>
      <c r="BE68" s="320"/>
      <c r="BF68" s="320"/>
    </row>
    <row r="69" spans="1:58" s="173" customFormat="1" ht="11.25">
      <c r="A69" s="45" t="s">
        <v>259</v>
      </c>
      <c r="B69" s="45" t="s">
        <v>96</v>
      </c>
      <c r="C69" s="269"/>
      <c r="D69" s="270"/>
      <c r="E69" s="270"/>
      <c r="F69" s="270"/>
      <c r="G69" s="269"/>
      <c r="H69" s="33">
        <f t="shared" ref="H69:AQ69" si="117">H70+H71</f>
        <v>14090.5</v>
      </c>
      <c r="I69" s="33">
        <f t="shared" si="117"/>
        <v>15666.1</v>
      </c>
      <c r="J69" s="34">
        <f t="shared" si="117"/>
        <v>16997.100000000002</v>
      </c>
      <c r="K69" s="32">
        <f t="shared" si="117"/>
        <v>17573.5</v>
      </c>
      <c r="L69" s="33">
        <f t="shared" si="117"/>
        <v>17136.900000000001</v>
      </c>
      <c r="M69" s="33">
        <f t="shared" si="117"/>
        <v>16943.8</v>
      </c>
      <c r="N69" s="34">
        <f t="shared" si="117"/>
        <v>17604.600000000002</v>
      </c>
      <c r="O69" s="32">
        <f t="shared" si="117"/>
        <v>17355.7</v>
      </c>
      <c r="P69" s="33">
        <f t="shared" si="117"/>
        <v>17890.3</v>
      </c>
      <c r="Q69" s="33">
        <f t="shared" si="117"/>
        <v>19053.5</v>
      </c>
      <c r="R69" s="34">
        <f t="shared" si="117"/>
        <v>19583.499999999996</v>
      </c>
      <c r="S69" s="32">
        <f t="shared" si="117"/>
        <v>19912.5</v>
      </c>
      <c r="T69" s="33">
        <f t="shared" si="117"/>
        <v>20950.399999999998</v>
      </c>
      <c r="U69" s="33">
        <f t="shared" si="117"/>
        <v>22378.6</v>
      </c>
      <c r="V69" s="34">
        <f t="shared" si="117"/>
        <v>24457.200000000001</v>
      </c>
      <c r="W69" s="32">
        <f t="shared" si="117"/>
        <v>29827.399999999998</v>
      </c>
      <c r="X69" s="33">
        <f t="shared" si="117"/>
        <v>30072.399999999998</v>
      </c>
      <c r="Y69" s="33">
        <f t="shared" si="117"/>
        <v>30382.799999999999</v>
      </c>
      <c r="Z69" s="34">
        <f t="shared" si="117"/>
        <v>29878</v>
      </c>
      <c r="AA69" s="32">
        <f t="shared" si="117"/>
        <v>29710.399999999998</v>
      </c>
      <c r="AB69" s="33">
        <f t="shared" si="117"/>
        <v>30426.3</v>
      </c>
      <c r="AC69" s="33">
        <f t="shared" si="117"/>
        <v>31503</v>
      </c>
      <c r="AD69" s="34">
        <f t="shared" si="117"/>
        <v>31476.799999999996</v>
      </c>
      <c r="AE69" s="32">
        <f t="shared" si="117"/>
        <v>33297.599999999999</v>
      </c>
      <c r="AF69" s="33">
        <f t="shared" si="117"/>
        <v>35206</v>
      </c>
      <c r="AG69" s="33">
        <f t="shared" si="117"/>
        <v>36729.5</v>
      </c>
      <c r="AH69" s="34">
        <f t="shared" si="117"/>
        <v>36781.1</v>
      </c>
      <c r="AI69" s="33">
        <f t="shared" si="117"/>
        <v>38078.600000000006</v>
      </c>
      <c r="AJ69" s="33">
        <f t="shared" si="117"/>
        <v>41302.199999999997</v>
      </c>
      <c r="AK69" s="33">
        <f t="shared" si="117"/>
        <v>43494.5</v>
      </c>
      <c r="AL69" s="34">
        <f t="shared" si="117"/>
        <v>43593.399999999994</v>
      </c>
      <c r="AM69" s="33">
        <f t="shared" si="117"/>
        <v>45146</v>
      </c>
      <c r="AN69" s="33">
        <f>AN70+AN71</f>
        <v>46247.6</v>
      </c>
      <c r="AO69" s="33">
        <f>AO70+AO71</f>
        <v>47306.5</v>
      </c>
      <c r="AP69" s="34">
        <f t="shared" si="117"/>
        <v>47807.299999999996</v>
      </c>
      <c r="AQ69" s="33">
        <f t="shared" si="117"/>
        <v>49343.8</v>
      </c>
      <c r="AR69" s="33">
        <f>AR70+AR71</f>
        <v>50457.2</v>
      </c>
      <c r="AS69" s="33">
        <f>AS70+AS71</f>
        <v>52100.700000000004</v>
      </c>
      <c r="AT69" s="34">
        <f>AT70+AT71</f>
        <v>51534.6</v>
      </c>
      <c r="AU69" s="271"/>
      <c r="AV69" s="321"/>
      <c r="AW69" s="321"/>
      <c r="AX69" s="321"/>
      <c r="AY69" s="321"/>
      <c r="AZ69" s="321"/>
      <c r="BA69" s="321"/>
      <c r="BB69" s="321"/>
      <c r="BC69" s="321"/>
      <c r="BD69" s="321"/>
      <c r="BE69" s="321"/>
      <c r="BF69" s="321"/>
    </row>
    <row r="70" spans="1:58" s="173" customFormat="1" ht="11.25">
      <c r="A70" s="26" t="s">
        <v>679</v>
      </c>
      <c r="B70" s="26" t="s">
        <v>97</v>
      </c>
      <c r="C70" s="272"/>
      <c r="D70" s="273"/>
      <c r="E70" s="273"/>
      <c r="F70" s="273"/>
      <c r="G70" s="272"/>
      <c r="H70" s="28">
        <v>13867.3</v>
      </c>
      <c r="I70" s="28">
        <v>15405.6</v>
      </c>
      <c r="J70" s="29">
        <v>16649.400000000001</v>
      </c>
      <c r="K70" s="27">
        <v>16827.599999999999</v>
      </c>
      <c r="L70" s="28">
        <f>16280.5+0.1</f>
        <v>16280.6</v>
      </c>
      <c r="M70" s="28">
        <f>16149.1+0.1</f>
        <v>16149.2</v>
      </c>
      <c r="N70" s="29">
        <v>16632.600000000002</v>
      </c>
      <c r="O70" s="27">
        <f>16315.9+0.1</f>
        <v>16316</v>
      </c>
      <c r="P70" s="28">
        <v>16843.7</v>
      </c>
      <c r="Q70" s="28">
        <f>17914.1+0.2</f>
        <v>17914.3</v>
      </c>
      <c r="R70" s="29">
        <f>18405.8+0.1</f>
        <v>18405.899999999998</v>
      </c>
      <c r="S70" s="27">
        <f>18727.7+0.1</f>
        <v>18727.8</v>
      </c>
      <c r="T70" s="28">
        <f>19803.8+0.3</f>
        <v>19804.099999999999</v>
      </c>
      <c r="U70" s="28">
        <f>21189.2+0.1</f>
        <v>21189.3</v>
      </c>
      <c r="V70" s="29">
        <f>23323.9+0.1</f>
        <v>23324</v>
      </c>
      <c r="W70" s="27">
        <v>28645.899999999998</v>
      </c>
      <c r="X70" s="28">
        <f>28547.8+0.1</f>
        <v>28547.899999999998</v>
      </c>
      <c r="Y70" s="28">
        <f>28858.4+0.1</f>
        <v>28858.5</v>
      </c>
      <c r="Z70" s="29">
        <f>28500.4+0.3</f>
        <v>28500.7</v>
      </c>
      <c r="AA70" s="27">
        <f>28213.1+0.2</f>
        <v>28213.3</v>
      </c>
      <c r="AB70" s="28">
        <f>28757.2+0.1</f>
        <v>28757.3</v>
      </c>
      <c r="AC70" s="28">
        <f>29791.7+0.1</f>
        <v>29791.8</v>
      </c>
      <c r="AD70" s="29">
        <f>29663.1+0.1</f>
        <v>29663.199999999997</v>
      </c>
      <c r="AE70" s="27">
        <f>31419-38.1+0.1</f>
        <v>31381</v>
      </c>
      <c r="AF70" s="28">
        <f>33338+0.1</f>
        <v>33338.1</v>
      </c>
      <c r="AG70" s="28">
        <f>34873.1+0.1</f>
        <v>34873.199999999997</v>
      </c>
      <c r="AH70" s="29">
        <f>34981.4+0.1</f>
        <v>34981.5</v>
      </c>
      <c r="AI70" s="28">
        <v>35951.100000000006</v>
      </c>
      <c r="AJ70" s="28">
        <v>39415.699999999997</v>
      </c>
      <c r="AK70" s="28">
        <v>41800.199999999997</v>
      </c>
      <c r="AL70" s="29">
        <v>41867.199999999997</v>
      </c>
      <c r="AM70" s="28">
        <v>43220</v>
      </c>
      <c r="AN70" s="28">
        <v>44581.7</v>
      </c>
      <c r="AO70" s="28">
        <v>45644.6</v>
      </c>
      <c r="AP70" s="29">
        <v>46269.2</v>
      </c>
      <c r="AQ70" s="28">
        <v>47772.3</v>
      </c>
      <c r="AR70" s="28">
        <v>48785.2</v>
      </c>
      <c r="AS70" s="28">
        <v>50371.8</v>
      </c>
      <c r="AT70" s="29">
        <v>49737.7</v>
      </c>
      <c r="AU70" s="271"/>
      <c r="AV70" s="321"/>
      <c r="AW70" s="321"/>
      <c r="AX70" s="321"/>
      <c r="AY70" s="321"/>
      <c r="AZ70" s="321"/>
      <c r="BA70" s="321"/>
      <c r="BB70" s="321"/>
      <c r="BC70" s="321"/>
      <c r="BD70" s="321"/>
      <c r="BE70" s="321"/>
      <c r="BF70" s="321"/>
    </row>
    <row r="71" spans="1:58" s="172" customFormat="1" ht="11.25">
      <c r="A71" s="30" t="s">
        <v>260</v>
      </c>
      <c r="B71" s="30" t="s">
        <v>98</v>
      </c>
      <c r="C71" s="272"/>
      <c r="D71" s="273"/>
      <c r="E71" s="273"/>
      <c r="F71" s="273"/>
      <c r="G71" s="272"/>
      <c r="H71" s="28">
        <v>223.2</v>
      </c>
      <c r="I71" s="28">
        <v>260.5</v>
      </c>
      <c r="J71" s="29">
        <v>347.7</v>
      </c>
      <c r="K71" s="27">
        <v>745.9</v>
      </c>
      <c r="L71" s="28">
        <v>856.3</v>
      </c>
      <c r="M71" s="28">
        <v>794.6</v>
      </c>
      <c r="N71" s="29">
        <v>972</v>
      </c>
      <c r="O71" s="27">
        <v>1039.7</v>
      </c>
      <c r="P71" s="28">
        <v>1046.5999999999999</v>
      </c>
      <c r="Q71" s="28">
        <v>1139.2</v>
      </c>
      <c r="R71" s="29">
        <v>1177.5999999999999</v>
      </c>
      <c r="S71" s="27">
        <v>1184.7</v>
      </c>
      <c r="T71" s="28">
        <v>1146.3</v>
      </c>
      <c r="U71" s="28">
        <v>1189.3</v>
      </c>
      <c r="V71" s="29">
        <v>1133.2</v>
      </c>
      <c r="W71" s="27">
        <v>1181.5</v>
      </c>
      <c r="X71" s="28">
        <v>1524.5</v>
      </c>
      <c r="Y71" s="28">
        <v>1524.3</v>
      </c>
      <c r="Z71" s="29">
        <v>1377.3</v>
      </c>
      <c r="AA71" s="27">
        <v>1497.1000000000001</v>
      </c>
      <c r="AB71" s="28">
        <v>1669</v>
      </c>
      <c r="AC71" s="28">
        <v>1711.2</v>
      </c>
      <c r="AD71" s="29">
        <v>1813.6000000000001</v>
      </c>
      <c r="AE71" s="27">
        <f>1878.5+38.1</f>
        <v>1916.6</v>
      </c>
      <c r="AF71" s="28">
        <v>1867.8999999999999</v>
      </c>
      <c r="AG71" s="28">
        <v>1856.3</v>
      </c>
      <c r="AH71" s="29">
        <v>1799.6</v>
      </c>
      <c r="AI71" s="28">
        <v>2127.5</v>
      </c>
      <c r="AJ71" s="28">
        <v>1886.5</v>
      </c>
      <c r="AK71" s="28">
        <v>1694.3</v>
      </c>
      <c r="AL71" s="29">
        <v>1726.2</v>
      </c>
      <c r="AM71" s="28">
        <v>1926</v>
      </c>
      <c r="AN71" s="28">
        <v>1665.9</v>
      </c>
      <c r="AO71" s="28">
        <v>1661.9</v>
      </c>
      <c r="AP71" s="29">
        <v>1538.1</v>
      </c>
      <c r="AQ71" s="28">
        <v>1571.5</v>
      </c>
      <c r="AR71" s="28">
        <v>1672</v>
      </c>
      <c r="AS71" s="28">
        <v>1728.9</v>
      </c>
      <c r="AT71" s="29">
        <v>1796.8999999999999</v>
      </c>
      <c r="AU71" s="271"/>
      <c r="AV71" s="321"/>
      <c r="AW71" s="321"/>
      <c r="AX71" s="321"/>
      <c r="AY71" s="321"/>
      <c r="AZ71" s="321"/>
      <c r="BA71" s="321"/>
      <c r="BB71" s="321"/>
      <c r="BC71" s="321"/>
      <c r="BD71" s="321"/>
      <c r="BE71" s="321"/>
      <c r="BF71" s="321"/>
    </row>
    <row r="72" spans="1:58" s="175" customFormat="1" ht="11.25">
      <c r="A72" s="50" t="s">
        <v>261</v>
      </c>
      <c r="B72" s="50" t="s">
        <v>99</v>
      </c>
      <c r="C72" s="269"/>
      <c r="D72" s="270"/>
      <c r="E72" s="270"/>
      <c r="F72" s="270"/>
      <c r="G72" s="269"/>
      <c r="H72" s="33">
        <f t="shared" ref="H72:Z72" si="118">SUM(H73:H75)</f>
        <v>268.40000000000003</v>
      </c>
      <c r="I72" s="33">
        <f t="shared" si="118"/>
        <v>271.5</v>
      </c>
      <c r="J72" s="34">
        <f t="shared" si="118"/>
        <v>338.7</v>
      </c>
      <c r="K72" s="32">
        <f t="shared" si="118"/>
        <v>500.6</v>
      </c>
      <c r="L72" s="33">
        <f t="shared" si="118"/>
        <v>571.70000000000005</v>
      </c>
      <c r="M72" s="33">
        <f t="shared" si="118"/>
        <v>613.69999999999993</v>
      </c>
      <c r="N72" s="34">
        <f t="shared" si="118"/>
        <v>668.7</v>
      </c>
      <c r="O72" s="32">
        <f t="shared" si="118"/>
        <v>697.6</v>
      </c>
      <c r="P72" s="33">
        <f t="shared" si="118"/>
        <v>726.6</v>
      </c>
      <c r="Q72" s="33">
        <f t="shared" si="118"/>
        <v>765.4</v>
      </c>
      <c r="R72" s="34">
        <f t="shared" si="118"/>
        <v>785.80000000000007</v>
      </c>
      <c r="S72" s="32">
        <f t="shared" si="118"/>
        <v>795.4</v>
      </c>
      <c r="T72" s="33">
        <f t="shared" si="118"/>
        <v>798.9</v>
      </c>
      <c r="U72" s="33">
        <f t="shared" si="118"/>
        <v>818.69999999999993</v>
      </c>
      <c r="V72" s="34">
        <f t="shared" si="118"/>
        <v>736.6</v>
      </c>
      <c r="W72" s="32">
        <f t="shared" si="118"/>
        <v>805.59999999999991</v>
      </c>
      <c r="X72" s="33">
        <f t="shared" si="118"/>
        <v>877.5</v>
      </c>
      <c r="Y72" s="33">
        <f t="shared" si="118"/>
        <v>927.5</v>
      </c>
      <c r="Z72" s="34">
        <f t="shared" si="118"/>
        <v>975.8</v>
      </c>
      <c r="AA72" s="32">
        <f t="shared" ref="AA72:AT72" si="119">SUM(AA73:AA75)</f>
        <v>985.9</v>
      </c>
      <c r="AB72" s="33">
        <f t="shared" si="119"/>
        <v>1027.2999999999997</v>
      </c>
      <c r="AC72" s="33">
        <f t="shared" si="119"/>
        <v>1038.7</v>
      </c>
      <c r="AD72" s="34">
        <f t="shared" si="119"/>
        <v>1081</v>
      </c>
      <c r="AE72" s="32">
        <f t="shared" si="119"/>
        <v>1127.7</v>
      </c>
      <c r="AF72" s="33">
        <f t="shared" si="119"/>
        <v>1091.6000000000001</v>
      </c>
      <c r="AG72" s="33">
        <f t="shared" si="119"/>
        <v>1127.5999999999999</v>
      </c>
      <c r="AH72" s="34">
        <f t="shared" si="119"/>
        <v>1172</v>
      </c>
      <c r="AI72" s="33">
        <f t="shared" si="119"/>
        <v>1203.1000000000001</v>
      </c>
      <c r="AJ72" s="33">
        <f t="shared" si="119"/>
        <v>1049.5</v>
      </c>
      <c r="AK72" s="33">
        <f t="shared" si="119"/>
        <v>1004.8</v>
      </c>
      <c r="AL72" s="34">
        <f t="shared" si="119"/>
        <v>1056.0999999999999</v>
      </c>
      <c r="AM72" s="33">
        <f t="shared" si="119"/>
        <v>1102.3999999999999</v>
      </c>
      <c r="AN72" s="33">
        <f t="shared" si="119"/>
        <v>1005.3000000000001</v>
      </c>
      <c r="AO72" s="33">
        <f t="shared" si="119"/>
        <v>1024.5999999999999</v>
      </c>
      <c r="AP72" s="34">
        <f t="shared" si="119"/>
        <v>962.30000000000007</v>
      </c>
      <c r="AQ72" s="33">
        <f t="shared" si="119"/>
        <v>973.3</v>
      </c>
      <c r="AR72" s="33">
        <f t="shared" si="119"/>
        <v>963.4</v>
      </c>
      <c r="AS72" s="33">
        <f t="shared" si="119"/>
        <v>1026.5</v>
      </c>
      <c r="AT72" s="34">
        <f t="shared" si="119"/>
        <v>1079.7</v>
      </c>
      <c r="AU72" s="271"/>
      <c r="AV72" s="321"/>
      <c r="AW72" s="321"/>
      <c r="AX72" s="321"/>
      <c r="AY72" s="321"/>
      <c r="AZ72" s="321"/>
      <c r="BA72" s="321"/>
      <c r="BB72" s="321"/>
      <c r="BC72" s="321"/>
      <c r="BD72" s="321"/>
      <c r="BE72" s="321"/>
      <c r="BF72" s="321"/>
    </row>
    <row r="73" spans="1:58" s="175" customFormat="1" ht="11.25">
      <c r="A73" s="30" t="s">
        <v>262</v>
      </c>
      <c r="B73" s="30" t="s">
        <v>100</v>
      </c>
      <c r="C73" s="272"/>
      <c r="D73" s="273"/>
      <c r="E73" s="273"/>
      <c r="F73" s="273"/>
      <c r="G73" s="272"/>
      <c r="H73" s="28">
        <v>77.3</v>
      </c>
      <c r="I73" s="28">
        <v>71.3</v>
      </c>
      <c r="J73" s="29">
        <v>71.2</v>
      </c>
      <c r="K73" s="27">
        <v>75.3</v>
      </c>
      <c r="L73" s="28">
        <v>84.6</v>
      </c>
      <c r="M73" s="28">
        <v>96.5</v>
      </c>
      <c r="N73" s="29">
        <v>77.2</v>
      </c>
      <c r="O73" s="27">
        <v>76</v>
      </c>
      <c r="P73" s="28">
        <v>72.7</v>
      </c>
      <c r="Q73" s="28">
        <v>70.3</v>
      </c>
      <c r="R73" s="29">
        <v>62.1</v>
      </c>
      <c r="S73" s="27">
        <v>56</v>
      </c>
      <c r="T73" s="28">
        <v>60.3</v>
      </c>
      <c r="U73" s="28">
        <v>65.900000000000006</v>
      </c>
      <c r="V73" s="29">
        <v>63</v>
      </c>
      <c r="W73" s="27">
        <v>79.400000000000006</v>
      </c>
      <c r="X73" s="28">
        <v>86.399999999999977</v>
      </c>
      <c r="Y73" s="28">
        <v>78.599999999999994</v>
      </c>
      <c r="Z73" s="29">
        <v>58</v>
      </c>
      <c r="AA73" s="27">
        <v>56.800000000000004</v>
      </c>
      <c r="AB73" s="28">
        <v>54.400000000000006</v>
      </c>
      <c r="AC73" s="28">
        <v>44.3</v>
      </c>
      <c r="AD73" s="29">
        <v>47.899999999999991</v>
      </c>
      <c r="AE73" s="27">
        <v>51.899999999999991</v>
      </c>
      <c r="AF73" s="28">
        <v>53.400000000000006</v>
      </c>
      <c r="AG73" s="28">
        <v>68.099999999999994</v>
      </c>
      <c r="AH73" s="29">
        <v>79.500000000000014</v>
      </c>
      <c r="AI73" s="28">
        <v>71.399999999999991</v>
      </c>
      <c r="AJ73" s="28">
        <v>72.099999999999994</v>
      </c>
      <c r="AK73" s="28">
        <v>85.9</v>
      </c>
      <c r="AL73" s="29">
        <v>79.2</v>
      </c>
      <c r="AM73" s="28">
        <v>74.100000000000009</v>
      </c>
      <c r="AN73" s="28">
        <v>78</v>
      </c>
      <c r="AO73" s="28">
        <v>68.5</v>
      </c>
      <c r="AP73" s="29">
        <v>70.2</v>
      </c>
      <c r="AQ73" s="28">
        <v>67.900000000000006</v>
      </c>
      <c r="AR73" s="28">
        <v>71.7</v>
      </c>
      <c r="AS73" s="28">
        <v>76.099999999999994</v>
      </c>
      <c r="AT73" s="29">
        <v>78.399999999999991</v>
      </c>
      <c r="AU73" s="271"/>
      <c r="AV73" s="321"/>
      <c r="AW73" s="321"/>
      <c r="AX73" s="321"/>
      <c r="AY73" s="321"/>
      <c r="AZ73" s="321"/>
      <c r="BA73" s="321"/>
      <c r="BB73" s="321"/>
      <c r="BC73" s="321"/>
      <c r="BD73" s="321"/>
      <c r="BE73" s="321"/>
      <c r="BF73" s="321"/>
    </row>
    <row r="74" spans="1:58" s="175" customFormat="1" ht="11.25">
      <c r="A74" s="35" t="s">
        <v>263</v>
      </c>
      <c r="B74" s="35" t="s">
        <v>101</v>
      </c>
      <c r="C74" s="272"/>
      <c r="D74" s="273"/>
      <c r="E74" s="273"/>
      <c r="F74" s="273"/>
      <c r="G74" s="272"/>
      <c r="H74" s="28">
        <v>184.8</v>
      </c>
      <c r="I74" s="28">
        <v>192.9</v>
      </c>
      <c r="J74" s="29">
        <v>258.2</v>
      </c>
      <c r="K74" s="27">
        <v>408.8</v>
      </c>
      <c r="L74" s="28">
        <v>473.6</v>
      </c>
      <c r="M74" s="28">
        <v>502.3</v>
      </c>
      <c r="N74" s="29">
        <v>571.4</v>
      </c>
      <c r="O74" s="27">
        <v>604.20000000000005</v>
      </c>
      <c r="P74" s="28">
        <v>636.29999999999995</v>
      </c>
      <c r="Q74" s="28">
        <v>685.9</v>
      </c>
      <c r="R74" s="29">
        <v>712.6</v>
      </c>
      <c r="S74" s="27">
        <v>729.5</v>
      </c>
      <c r="T74" s="28">
        <v>728</v>
      </c>
      <c r="U74" s="28">
        <v>743.8</v>
      </c>
      <c r="V74" s="29">
        <v>663</v>
      </c>
      <c r="W74" s="27">
        <v>711.3</v>
      </c>
      <c r="X74" s="28">
        <v>773.5</v>
      </c>
      <c r="Y74" s="28">
        <v>828.9</v>
      </c>
      <c r="Z74" s="29">
        <v>895.5</v>
      </c>
      <c r="AA74" s="27">
        <v>905.6</v>
      </c>
      <c r="AB74" s="28">
        <v>945.69999999999982</v>
      </c>
      <c r="AC74" s="28">
        <v>978.00000000000011</v>
      </c>
      <c r="AD74" s="29">
        <v>1019.6</v>
      </c>
      <c r="AE74" s="27">
        <v>1061.8</v>
      </c>
      <c r="AF74" s="28">
        <v>1022</v>
      </c>
      <c r="AG74" s="28">
        <v>1043.2</v>
      </c>
      <c r="AH74" s="29">
        <v>1074.2</v>
      </c>
      <c r="AI74" s="28">
        <v>1117.6000000000001</v>
      </c>
      <c r="AJ74" s="28">
        <v>963.6</v>
      </c>
      <c r="AK74" s="28">
        <v>904.4</v>
      </c>
      <c r="AL74" s="29">
        <v>950.8</v>
      </c>
      <c r="AM74" s="28">
        <v>995.7</v>
      </c>
      <c r="AN74" s="28">
        <v>894.6</v>
      </c>
      <c r="AO74" s="28">
        <v>925.6</v>
      </c>
      <c r="AP74" s="29">
        <v>869.6</v>
      </c>
      <c r="AQ74" s="28">
        <v>884.5</v>
      </c>
      <c r="AR74" s="28">
        <v>861.8</v>
      </c>
      <c r="AS74" s="28">
        <v>913.9</v>
      </c>
      <c r="AT74" s="29">
        <v>960.7</v>
      </c>
      <c r="AU74" s="271"/>
      <c r="AV74" s="321"/>
      <c r="AW74" s="321"/>
      <c r="AX74" s="321"/>
      <c r="AY74" s="321"/>
      <c r="AZ74" s="321"/>
      <c r="BA74" s="321"/>
      <c r="BB74" s="321"/>
      <c r="BC74" s="321"/>
      <c r="BD74" s="321"/>
      <c r="BE74" s="321"/>
      <c r="BF74" s="321"/>
    </row>
    <row r="75" spans="1:58" s="173" customFormat="1" ht="11.25">
      <c r="A75" s="35" t="s">
        <v>264</v>
      </c>
      <c r="B75" s="35" t="s">
        <v>102</v>
      </c>
      <c r="C75" s="272"/>
      <c r="D75" s="273"/>
      <c r="E75" s="273"/>
      <c r="F75" s="273"/>
      <c r="G75" s="272"/>
      <c r="H75" s="28">
        <v>6.3</v>
      </c>
      <c r="I75" s="28">
        <v>7.3</v>
      </c>
      <c r="J75" s="29">
        <v>9.3000000000000007</v>
      </c>
      <c r="K75" s="27">
        <v>16.5</v>
      </c>
      <c r="L75" s="28">
        <v>13.5</v>
      </c>
      <c r="M75" s="28">
        <v>14.9</v>
      </c>
      <c r="N75" s="29">
        <v>20.100000000000001</v>
      </c>
      <c r="O75" s="27">
        <v>17.399999999999999</v>
      </c>
      <c r="P75" s="28">
        <v>17.600000000000001</v>
      </c>
      <c r="Q75" s="28">
        <v>9.1999999999999993</v>
      </c>
      <c r="R75" s="29">
        <v>11.1</v>
      </c>
      <c r="S75" s="27">
        <v>9.9</v>
      </c>
      <c r="T75" s="28">
        <v>10.6</v>
      </c>
      <c r="U75" s="28">
        <v>9</v>
      </c>
      <c r="V75" s="29">
        <v>10.6</v>
      </c>
      <c r="W75" s="27">
        <v>14.9</v>
      </c>
      <c r="X75" s="28">
        <v>17.600000000000001</v>
      </c>
      <c r="Y75" s="28">
        <v>20</v>
      </c>
      <c r="Z75" s="29">
        <v>22.3</v>
      </c>
      <c r="AA75" s="27">
        <v>23.5</v>
      </c>
      <c r="AB75" s="28">
        <v>27.2</v>
      </c>
      <c r="AC75" s="28">
        <v>16.399999999999999</v>
      </c>
      <c r="AD75" s="29">
        <v>13.5</v>
      </c>
      <c r="AE75" s="27">
        <v>14</v>
      </c>
      <c r="AF75" s="28">
        <v>16.2</v>
      </c>
      <c r="AG75" s="28">
        <v>16.3</v>
      </c>
      <c r="AH75" s="29">
        <v>18.3</v>
      </c>
      <c r="AI75" s="28">
        <v>14.1</v>
      </c>
      <c r="AJ75" s="28">
        <v>13.8</v>
      </c>
      <c r="AK75" s="28">
        <v>14.5</v>
      </c>
      <c r="AL75" s="29">
        <v>26.1</v>
      </c>
      <c r="AM75" s="28">
        <v>32.6</v>
      </c>
      <c r="AN75" s="28">
        <v>32.700000000000003</v>
      </c>
      <c r="AO75" s="28">
        <v>30.5</v>
      </c>
      <c r="AP75" s="29">
        <v>22.5</v>
      </c>
      <c r="AQ75" s="28">
        <v>20.9</v>
      </c>
      <c r="AR75" s="28">
        <v>29.9</v>
      </c>
      <c r="AS75" s="28">
        <v>36.5</v>
      </c>
      <c r="AT75" s="29">
        <v>40.6</v>
      </c>
      <c r="AU75" s="271"/>
      <c r="AV75" s="321"/>
      <c r="AW75" s="321"/>
      <c r="AX75" s="321"/>
      <c r="AY75" s="321"/>
      <c r="AZ75" s="321"/>
      <c r="BA75" s="321"/>
      <c r="BB75" s="321"/>
      <c r="BC75" s="321"/>
      <c r="BD75" s="321"/>
      <c r="BE75" s="321"/>
      <c r="BF75" s="321"/>
    </row>
    <row r="76" spans="1:58" s="173" customFormat="1" ht="11.25">
      <c r="A76" s="35" t="s">
        <v>265</v>
      </c>
      <c r="B76" s="35"/>
      <c r="C76" s="272"/>
      <c r="D76" s="273"/>
      <c r="E76" s="273"/>
      <c r="F76" s="273"/>
      <c r="G76" s="272"/>
      <c r="H76" s="28"/>
      <c r="I76" s="28"/>
      <c r="J76" s="29"/>
      <c r="K76" s="27"/>
      <c r="L76" s="28"/>
      <c r="M76" s="28"/>
      <c r="N76" s="29"/>
      <c r="O76" s="27"/>
      <c r="P76" s="28"/>
      <c r="Q76" s="28"/>
      <c r="R76" s="29"/>
      <c r="S76" s="27"/>
      <c r="T76" s="28"/>
      <c r="U76" s="28"/>
      <c r="V76" s="29"/>
      <c r="W76" s="27"/>
      <c r="X76" s="28"/>
      <c r="Y76" s="28"/>
      <c r="Z76" s="29"/>
      <c r="AA76" s="27"/>
      <c r="AB76" s="28"/>
      <c r="AC76" s="28"/>
      <c r="AD76" s="29"/>
      <c r="AE76" s="27"/>
      <c r="AF76" s="28"/>
      <c r="AG76" s="28"/>
      <c r="AH76" s="29"/>
      <c r="AI76" s="28"/>
      <c r="AJ76" s="28"/>
      <c r="AK76" s="28"/>
      <c r="AL76" s="29"/>
      <c r="AM76" s="28"/>
      <c r="AN76" s="28"/>
      <c r="AO76" s="28"/>
      <c r="AP76" s="29"/>
      <c r="AQ76" s="28"/>
      <c r="AR76" s="28"/>
      <c r="AS76" s="28"/>
      <c r="AT76" s="29"/>
      <c r="AU76" s="268"/>
      <c r="AV76" s="320"/>
      <c r="AW76" s="320"/>
      <c r="AX76" s="320"/>
      <c r="AY76" s="320"/>
      <c r="AZ76" s="320"/>
      <c r="BA76" s="320"/>
      <c r="BB76" s="320"/>
      <c r="BC76" s="320"/>
      <c r="BD76" s="320"/>
      <c r="BE76" s="320"/>
      <c r="BF76" s="320"/>
    </row>
    <row r="77" spans="1:58" s="175" customFormat="1" ht="11.25">
      <c r="A77" s="35" t="s">
        <v>317</v>
      </c>
      <c r="B77" s="35" t="s">
        <v>346</v>
      </c>
      <c r="C77" s="274"/>
      <c r="D77" s="275"/>
      <c r="E77" s="275"/>
      <c r="F77" s="275"/>
      <c r="G77" s="274"/>
      <c r="H77" s="276">
        <f t="shared" ref="H77:AQ77" si="120">H71/H69</f>
        <v>1.584045988431922E-2</v>
      </c>
      <c r="I77" s="276">
        <f t="shared" si="120"/>
        <v>1.6628261022207186E-2</v>
      </c>
      <c r="J77" s="277">
        <f t="shared" si="120"/>
        <v>2.0456430802901666E-2</v>
      </c>
      <c r="K77" s="278">
        <f t="shared" si="120"/>
        <v>4.2444589865422371E-2</v>
      </c>
      <c r="L77" s="276">
        <f t="shared" si="120"/>
        <v>4.9968197281888782E-2</v>
      </c>
      <c r="M77" s="276">
        <f t="shared" si="120"/>
        <v>4.6896209823062127E-2</v>
      </c>
      <c r="N77" s="277">
        <f t="shared" si="120"/>
        <v>5.5212842098087994E-2</v>
      </c>
      <c r="O77" s="278">
        <f t="shared" si="120"/>
        <v>5.9905391312364241E-2</v>
      </c>
      <c r="P77" s="276">
        <f t="shared" si="120"/>
        <v>5.850097538889789E-2</v>
      </c>
      <c r="Q77" s="276">
        <f t="shared" si="120"/>
        <v>5.978953997953132E-2</v>
      </c>
      <c r="R77" s="277">
        <f t="shared" si="120"/>
        <v>6.0132254193581335E-2</v>
      </c>
      <c r="S77" s="278">
        <f t="shared" si="120"/>
        <v>5.9495291902071562E-2</v>
      </c>
      <c r="T77" s="276">
        <f t="shared" si="120"/>
        <v>5.4714945776691615E-2</v>
      </c>
      <c r="U77" s="276">
        <f t="shared" si="120"/>
        <v>5.3144521998695182E-2</v>
      </c>
      <c r="V77" s="277">
        <f>V71/V69</f>
        <v>4.6334003892514269E-2</v>
      </c>
      <c r="W77" s="278">
        <f t="shared" si="120"/>
        <v>3.9611229942938378E-2</v>
      </c>
      <c r="X77" s="276">
        <f t="shared" si="120"/>
        <v>5.0694324363868531E-2</v>
      </c>
      <c r="Y77" s="276">
        <f t="shared" si="120"/>
        <v>5.0169832931790358E-2</v>
      </c>
      <c r="Z77" s="277">
        <f t="shared" si="120"/>
        <v>4.6097463016266146E-2</v>
      </c>
      <c r="AA77" s="278">
        <f t="shared" si="120"/>
        <v>5.0389762507404824E-2</v>
      </c>
      <c r="AB77" s="276">
        <f t="shared" si="120"/>
        <v>5.4853859982975255E-2</v>
      </c>
      <c r="AC77" s="276">
        <f t="shared" si="120"/>
        <v>5.4318636320350444E-2</v>
      </c>
      <c r="AD77" s="277">
        <f t="shared" si="120"/>
        <v>5.7617038580796025E-2</v>
      </c>
      <c r="AE77" s="278">
        <f t="shared" si="120"/>
        <v>5.7559704002690885E-2</v>
      </c>
      <c r="AF77" s="276">
        <f t="shared" si="120"/>
        <v>5.3056297222064418E-2</v>
      </c>
      <c r="AG77" s="276">
        <f t="shared" si="120"/>
        <v>5.0539756871179842E-2</v>
      </c>
      <c r="AH77" s="277">
        <f t="shared" si="120"/>
        <v>4.892730233734173E-2</v>
      </c>
      <c r="AI77" s="276">
        <f t="shared" si="120"/>
        <v>5.5871276780133712E-2</v>
      </c>
      <c r="AJ77" s="276">
        <f t="shared" si="120"/>
        <v>4.5675533022454015E-2</v>
      </c>
      <c r="AK77" s="276">
        <f t="shared" si="120"/>
        <v>3.8954350550069551E-2</v>
      </c>
      <c r="AL77" s="277">
        <f t="shared" si="120"/>
        <v>3.9597737272155882E-2</v>
      </c>
      <c r="AM77" s="276">
        <f t="shared" si="120"/>
        <v>4.2661586851548312E-2</v>
      </c>
      <c r="AN77" s="276">
        <f>AN71/AN69</f>
        <v>3.6021328674352836E-2</v>
      </c>
      <c r="AO77" s="276">
        <f>AO71/AO69</f>
        <v>3.5130478898248656E-2</v>
      </c>
      <c r="AP77" s="277">
        <f t="shared" si="120"/>
        <v>3.2172910831609398E-2</v>
      </c>
      <c r="AQ77" s="276">
        <f t="shared" si="120"/>
        <v>3.1847972794961064E-2</v>
      </c>
      <c r="AR77" s="276">
        <f>AR71/AR69</f>
        <v>3.3136995314841093E-2</v>
      </c>
      <c r="AS77" s="276">
        <f>AS71/AS69</f>
        <v>3.3183815188663493E-2</v>
      </c>
      <c r="AT77" s="277">
        <f>AT71/AT69</f>
        <v>3.4867836366247143E-2</v>
      </c>
      <c r="AU77" s="271"/>
      <c r="AV77" s="321"/>
      <c r="AW77" s="321"/>
      <c r="AX77" s="321"/>
      <c r="AY77" s="321"/>
      <c r="AZ77" s="321"/>
      <c r="BA77" s="321"/>
      <c r="BB77" s="321"/>
      <c r="BC77" s="321"/>
      <c r="BD77" s="321"/>
      <c r="BE77" s="321"/>
      <c r="BF77" s="321"/>
    </row>
    <row r="78" spans="1:58" s="175" customFormat="1" ht="11.25">
      <c r="A78" s="35" t="s">
        <v>266</v>
      </c>
      <c r="B78" s="35" t="s">
        <v>347</v>
      </c>
      <c r="C78" s="274"/>
      <c r="D78" s="275"/>
      <c r="E78" s="275"/>
      <c r="F78" s="275"/>
      <c r="G78" s="274"/>
      <c r="H78" s="276">
        <f t="shared" ref="H78:AQ78" si="121">H74/H71</f>
        <v>0.82795698924731187</v>
      </c>
      <c r="I78" s="276">
        <f t="shared" si="121"/>
        <v>0.74049904030710179</v>
      </c>
      <c r="J78" s="277">
        <f t="shared" si="121"/>
        <v>0.74259419039401786</v>
      </c>
      <c r="K78" s="278">
        <f t="shared" si="121"/>
        <v>0.54806274299503954</v>
      </c>
      <c r="L78" s="276">
        <f t="shared" si="121"/>
        <v>0.5530771925726965</v>
      </c>
      <c r="M78" s="276">
        <f t="shared" si="121"/>
        <v>0.63214195821797126</v>
      </c>
      <c r="N78" s="277">
        <f t="shared" si="121"/>
        <v>0.58786008230452669</v>
      </c>
      <c r="O78" s="278">
        <f t="shared" si="121"/>
        <v>0.58112917187650281</v>
      </c>
      <c r="P78" s="276">
        <f t="shared" si="121"/>
        <v>0.60796866042423081</v>
      </c>
      <c r="Q78" s="276">
        <f t="shared" si="121"/>
        <v>0.6020891853932584</v>
      </c>
      <c r="R78" s="277">
        <f t="shared" si="121"/>
        <v>0.60512907608695654</v>
      </c>
      <c r="S78" s="278">
        <f t="shared" si="121"/>
        <v>0.61576770490419508</v>
      </c>
      <c r="T78" s="276">
        <f t="shared" si="121"/>
        <v>0.63508680101195147</v>
      </c>
      <c r="U78" s="276">
        <f t="shared" si="121"/>
        <v>0.62540990498612625</v>
      </c>
      <c r="V78" s="277">
        <f>V74/V71</f>
        <v>0.58506883162725021</v>
      </c>
      <c r="W78" s="278">
        <f t="shared" si="121"/>
        <v>0.60203131612357175</v>
      </c>
      <c r="X78" s="276">
        <f t="shared" si="121"/>
        <v>0.50737946867825512</v>
      </c>
      <c r="Y78" s="276">
        <f t="shared" si="121"/>
        <v>0.54379059240307026</v>
      </c>
      <c r="Z78" s="277">
        <f t="shared" si="121"/>
        <v>0.65018514484861689</v>
      </c>
      <c r="AA78" s="278">
        <f t="shared" si="121"/>
        <v>0.60490281210339991</v>
      </c>
      <c r="AB78" s="276">
        <f t="shared" si="121"/>
        <v>0.56662672258837621</v>
      </c>
      <c r="AC78" s="276">
        <f t="shared" si="121"/>
        <v>0.57152875175315576</v>
      </c>
      <c r="AD78" s="277">
        <f t="shared" si="121"/>
        <v>0.56219673577415086</v>
      </c>
      <c r="AE78" s="278">
        <f t="shared" si="121"/>
        <v>0.55400187832620262</v>
      </c>
      <c r="AF78" s="276">
        <f t="shared" si="121"/>
        <v>0.54713849777825374</v>
      </c>
      <c r="AG78" s="276">
        <f t="shared" si="121"/>
        <v>0.5619781285352583</v>
      </c>
      <c r="AH78" s="277">
        <f t="shared" si="121"/>
        <v>0.5969104245387864</v>
      </c>
      <c r="AI78" s="276">
        <f t="shared" si="121"/>
        <v>0.52531139835487672</v>
      </c>
      <c r="AJ78" s="276">
        <f t="shared" si="121"/>
        <v>0.51078717201166179</v>
      </c>
      <c r="AK78" s="276">
        <f t="shared" si="121"/>
        <v>0.53378976568494363</v>
      </c>
      <c r="AL78" s="277">
        <f t="shared" si="121"/>
        <v>0.55080523693662375</v>
      </c>
      <c r="AM78" s="276">
        <f t="shared" si="121"/>
        <v>0.51697819314641746</v>
      </c>
      <c r="AN78" s="276">
        <f>AN74/AN71</f>
        <v>0.53700702323068605</v>
      </c>
      <c r="AO78" s="276">
        <f>AO74/AO71</f>
        <v>0.55695288525182018</v>
      </c>
      <c r="AP78" s="277">
        <f t="shared" si="121"/>
        <v>0.56537286262271635</v>
      </c>
      <c r="AQ78" s="276">
        <f t="shared" si="121"/>
        <v>0.56283805281578114</v>
      </c>
      <c r="AR78" s="276">
        <f>AR74/AR71</f>
        <v>0.51543062200956935</v>
      </c>
      <c r="AS78" s="276">
        <f>AS74/AS71</f>
        <v>0.52860200127248536</v>
      </c>
      <c r="AT78" s="277">
        <f>AT74/AT71</f>
        <v>0.53464299627135625</v>
      </c>
      <c r="AU78" s="271"/>
      <c r="AV78" s="321"/>
      <c r="AW78" s="321"/>
      <c r="AX78" s="321"/>
      <c r="AY78" s="321"/>
      <c r="AZ78" s="321"/>
      <c r="BA78" s="321"/>
      <c r="BB78" s="321"/>
      <c r="BC78" s="321"/>
      <c r="BD78" s="321"/>
      <c r="BE78" s="321"/>
      <c r="BF78" s="321"/>
    </row>
    <row r="79" spans="1:58" s="175" customFormat="1" ht="11.25">
      <c r="A79" s="35"/>
      <c r="B79" s="35"/>
      <c r="C79" s="272"/>
      <c r="D79" s="273"/>
      <c r="E79" s="273"/>
      <c r="F79" s="273"/>
      <c r="G79" s="272"/>
      <c r="H79" s="28"/>
      <c r="I79" s="28"/>
      <c r="J79" s="29"/>
      <c r="K79" s="27"/>
      <c r="L79" s="28"/>
      <c r="M79" s="28"/>
      <c r="N79" s="29"/>
      <c r="O79" s="27"/>
      <c r="P79" s="28"/>
      <c r="Q79" s="28"/>
      <c r="R79" s="29"/>
      <c r="S79" s="27"/>
      <c r="T79" s="28"/>
      <c r="U79" s="28"/>
      <c r="V79" s="29"/>
      <c r="W79" s="27"/>
      <c r="X79" s="28"/>
      <c r="Y79" s="28"/>
      <c r="Z79" s="29"/>
      <c r="AA79" s="27"/>
      <c r="AB79" s="28"/>
      <c r="AC79" s="28"/>
      <c r="AD79" s="29"/>
      <c r="AE79" s="27"/>
      <c r="AF79" s="28"/>
      <c r="AG79" s="28"/>
      <c r="AH79" s="29"/>
      <c r="AI79" s="28"/>
      <c r="AJ79" s="28"/>
      <c r="AK79" s="28"/>
      <c r="AL79" s="29"/>
      <c r="AM79" s="28"/>
      <c r="AN79" s="28"/>
      <c r="AO79" s="28"/>
      <c r="AP79" s="29"/>
      <c r="AQ79" s="28"/>
      <c r="AR79" s="28"/>
      <c r="AS79" s="28"/>
      <c r="AT79" s="29"/>
      <c r="AU79" s="268"/>
      <c r="AV79" s="320"/>
      <c r="AW79" s="320"/>
      <c r="AX79" s="320"/>
      <c r="AY79" s="320"/>
      <c r="AZ79" s="320"/>
      <c r="BA79" s="320"/>
      <c r="BB79" s="320"/>
      <c r="BC79" s="320"/>
      <c r="BD79" s="320"/>
      <c r="BE79" s="320"/>
      <c r="BF79" s="320"/>
    </row>
    <row r="80" spans="1:58" s="175" customFormat="1" ht="11.25">
      <c r="A80" s="50" t="s">
        <v>267</v>
      </c>
      <c r="B80" s="50" t="s">
        <v>103</v>
      </c>
      <c r="C80" s="272"/>
      <c r="D80" s="273"/>
      <c r="E80" s="273"/>
      <c r="F80" s="273"/>
      <c r="G80" s="272"/>
      <c r="H80" s="28"/>
      <c r="I80" s="28"/>
      <c r="J80" s="29"/>
      <c r="K80" s="27"/>
      <c r="L80" s="28"/>
      <c r="M80" s="28"/>
      <c r="N80" s="29"/>
      <c r="O80" s="27"/>
      <c r="P80" s="28"/>
      <c r="Q80" s="28"/>
      <c r="R80" s="29"/>
      <c r="S80" s="27"/>
      <c r="T80" s="28"/>
      <c r="U80" s="28"/>
      <c r="V80" s="29"/>
      <c r="W80" s="27"/>
      <c r="X80" s="28"/>
      <c r="Y80" s="28"/>
      <c r="Z80" s="29"/>
      <c r="AA80" s="27"/>
      <c r="AB80" s="28"/>
      <c r="AC80" s="28"/>
      <c r="AD80" s="29"/>
      <c r="AE80" s="27"/>
      <c r="AF80" s="28"/>
      <c r="AG80" s="28"/>
      <c r="AH80" s="29"/>
      <c r="AI80" s="28"/>
      <c r="AJ80" s="28"/>
      <c r="AK80" s="28"/>
      <c r="AL80" s="29"/>
      <c r="AM80" s="28"/>
      <c r="AN80" s="28"/>
      <c r="AO80" s="28"/>
      <c r="AP80" s="29"/>
      <c r="AQ80" s="28"/>
      <c r="AR80" s="28"/>
      <c r="AS80" s="28"/>
      <c r="AT80" s="29"/>
      <c r="AU80" s="268"/>
      <c r="AV80" s="320"/>
      <c r="AW80" s="320"/>
      <c r="AX80" s="320"/>
      <c r="AY80" s="320"/>
      <c r="AZ80" s="320"/>
      <c r="BA80" s="320"/>
      <c r="BB80" s="320"/>
      <c r="BC80" s="320"/>
      <c r="BD80" s="320"/>
      <c r="BE80" s="320"/>
      <c r="BF80" s="320"/>
    </row>
    <row r="81" spans="1:58" s="175" customFormat="1" ht="11.25">
      <c r="A81" s="50" t="s">
        <v>259</v>
      </c>
      <c r="B81" s="50" t="s">
        <v>96</v>
      </c>
      <c r="C81" s="269"/>
      <c r="D81" s="270"/>
      <c r="E81" s="270"/>
      <c r="F81" s="270"/>
      <c r="G81" s="269"/>
      <c r="H81" s="33">
        <f t="shared" ref="H81:AQ81" si="122">H82+H83</f>
        <v>5723.8</v>
      </c>
      <c r="I81" s="33">
        <f t="shared" si="122"/>
        <v>6439.6</v>
      </c>
      <c r="J81" s="34">
        <f t="shared" si="122"/>
        <v>7300.9000000000005</v>
      </c>
      <c r="K81" s="32">
        <f t="shared" si="122"/>
        <v>8041</v>
      </c>
      <c r="L81" s="33">
        <f t="shared" si="122"/>
        <v>8639.7999999999993</v>
      </c>
      <c r="M81" s="33">
        <f t="shared" si="122"/>
        <v>9190.2000000000007</v>
      </c>
      <c r="N81" s="34">
        <f t="shared" si="122"/>
        <v>9756.8000000000011</v>
      </c>
      <c r="O81" s="32">
        <f t="shared" si="122"/>
        <v>10220.700000000001</v>
      </c>
      <c r="P81" s="33">
        <f t="shared" si="122"/>
        <v>11104.1</v>
      </c>
      <c r="Q81" s="33">
        <f t="shared" si="122"/>
        <v>11614.3</v>
      </c>
      <c r="R81" s="34">
        <f t="shared" si="122"/>
        <v>12594.8</v>
      </c>
      <c r="S81" s="32">
        <f t="shared" si="122"/>
        <v>13076.2</v>
      </c>
      <c r="T81" s="33">
        <f t="shared" si="122"/>
        <v>13804.3</v>
      </c>
      <c r="U81" s="33">
        <f t="shared" si="122"/>
        <v>14540.6</v>
      </c>
      <c r="V81" s="34">
        <f t="shared" si="122"/>
        <v>15008.9</v>
      </c>
      <c r="W81" s="32">
        <f t="shared" si="122"/>
        <v>15278.5</v>
      </c>
      <c r="X81" s="33">
        <f t="shared" si="122"/>
        <v>15835.199999999999</v>
      </c>
      <c r="Y81" s="33">
        <f t="shared" si="122"/>
        <v>16362.1</v>
      </c>
      <c r="Z81" s="34">
        <f t="shared" si="122"/>
        <v>16632</v>
      </c>
      <c r="AA81" s="32">
        <f t="shared" si="122"/>
        <v>16960</v>
      </c>
      <c r="AB81" s="33">
        <f t="shared" si="122"/>
        <v>17710.400000000001</v>
      </c>
      <c r="AC81" s="33">
        <f t="shared" si="122"/>
        <v>18261.5</v>
      </c>
      <c r="AD81" s="34">
        <f t="shared" si="122"/>
        <v>18505.5</v>
      </c>
      <c r="AE81" s="32">
        <f t="shared" si="122"/>
        <v>19048.599999999999</v>
      </c>
      <c r="AF81" s="33">
        <f t="shared" si="122"/>
        <v>19893.099999999999</v>
      </c>
      <c r="AG81" s="33">
        <f t="shared" si="122"/>
        <v>21021.3</v>
      </c>
      <c r="AH81" s="34">
        <f t="shared" si="122"/>
        <v>21969.399999999998</v>
      </c>
      <c r="AI81" s="33">
        <f t="shared" si="122"/>
        <v>23244.499999999996</v>
      </c>
      <c r="AJ81" s="33">
        <f t="shared" si="122"/>
        <v>24641.5</v>
      </c>
      <c r="AK81" s="33">
        <f t="shared" si="122"/>
        <v>25551.999999999996</v>
      </c>
      <c r="AL81" s="34">
        <f t="shared" si="122"/>
        <v>26453.5</v>
      </c>
      <c r="AM81" s="33">
        <f t="shared" si="122"/>
        <v>27761</v>
      </c>
      <c r="AN81" s="33">
        <f>AN82+AN83</f>
        <v>29563.200000000001</v>
      </c>
      <c r="AO81" s="33">
        <f>AO82+AO83</f>
        <v>30581.8</v>
      </c>
      <c r="AP81" s="34">
        <f t="shared" si="122"/>
        <v>31640.600000000002</v>
      </c>
      <c r="AQ81" s="33">
        <f t="shared" si="122"/>
        <v>32786.200000000004</v>
      </c>
      <c r="AR81" s="33">
        <f>AR82+AR83</f>
        <v>34321.300000000003</v>
      </c>
      <c r="AS81" s="33">
        <f>AS82+AS83</f>
        <v>35795.299999999996</v>
      </c>
      <c r="AT81" s="34">
        <f>AT82+AT83</f>
        <v>37509</v>
      </c>
      <c r="AU81" s="271"/>
      <c r="AV81" s="321"/>
      <c r="AW81" s="321"/>
      <c r="AX81" s="321"/>
      <c r="AY81" s="321"/>
      <c r="AZ81" s="321"/>
      <c r="BA81" s="321"/>
      <c r="BB81" s="321"/>
      <c r="BC81" s="321"/>
      <c r="BD81" s="321"/>
      <c r="BE81" s="321"/>
      <c r="BF81" s="321"/>
    </row>
    <row r="82" spans="1:58" s="175" customFormat="1" ht="11.25">
      <c r="A82" s="26" t="s">
        <v>679</v>
      </c>
      <c r="B82" s="26" t="s">
        <v>97</v>
      </c>
      <c r="C82" s="272"/>
      <c r="D82" s="273"/>
      <c r="E82" s="273"/>
      <c r="F82" s="273"/>
      <c r="G82" s="272"/>
      <c r="H82" s="28">
        <v>5582.2</v>
      </c>
      <c r="I82" s="28">
        <v>6306.1</v>
      </c>
      <c r="J82" s="29">
        <v>7146.3</v>
      </c>
      <c r="K82" s="27">
        <v>7889</v>
      </c>
      <c r="L82" s="28">
        <v>8469.5</v>
      </c>
      <c r="M82" s="28">
        <v>9018.2000000000007</v>
      </c>
      <c r="N82" s="29">
        <v>9564.1</v>
      </c>
      <c r="O82" s="27">
        <v>9982.2000000000007</v>
      </c>
      <c r="P82" s="28">
        <v>10841.9</v>
      </c>
      <c r="Q82" s="28">
        <v>11323</v>
      </c>
      <c r="R82" s="29">
        <v>12264.8</v>
      </c>
      <c r="S82" s="27">
        <v>12736</v>
      </c>
      <c r="T82" s="28">
        <v>13432.4</v>
      </c>
      <c r="U82" s="28">
        <v>14140.6</v>
      </c>
      <c r="V82" s="29">
        <v>14589.1</v>
      </c>
      <c r="W82" s="27">
        <v>14837.9</v>
      </c>
      <c r="X82" s="28">
        <v>15370.199999999999</v>
      </c>
      <c r="Y82" s="28">
        <v>15863.2</v>
      </c>
      <c r="Z82" s="29">
        <v>16114.3</v>
      </c>
      <c r="AA82" s="27">
        <v>16421.8</v>
      </c>
      <c r="AB82" s="28">
        <v>17092.2</v>
      </c>
      <c r="AC82" s="28">
        <v>17778.400000000001</v>
      </c>
      <c r="AD82" s="29">
        <v>18004.5</v>
      </c>
      <c r="AE82" s="27">
        <v>18532</v>
      </c>
      <c r="AF82" s="28">
        <v>19363</v>
      </c>
      <c r="AG82" s="28">
        <v>20470.8</v>
      </c>
      <c r="AH82" s="29">
        <v>21389.599999999999</v>
      </c>
      <c r="AI82" s="28">
        <v>22632.199999999997</v>
      </c>
      <c r="AJ82" s="28">
        <v>24009.8</v>
      </c>
      <c r="AK82" s="28">
        <v>25032.899999999998</v>
      </c>
      <c r="AL82" s="29">
        <v>25911.3</v>
      </c>
      <c r="AM82" s="28">
        <v>27254</v>
      </c>
      <c r="AN82" s="28">
        <v>29018.100000000002</v>
      </c>
      <c r="AO82" s="28">
        <v>30084</v>
      </c>
      <c r="AP82" s="29">
        <v>31101.9</v>
      </c>
      <c r="AQ82" s="28">
        <v>32192.9</v>
      </c>
      <c r="AR82" s="28">
        <v>33687.5</v>
      </c>
      <c r="AS82" s="28">
        <v>35152.1</v>
      </c>
      <c r="AT82" s="29">
        <v>36809</v>
      </c>
      <c r="AU82" s="271"/>
      <c r="AV82" s="321"/>
      <c r="AW82" s="321"/>
      <c r="AX82" s="321"/>
      <c r="AY82" s="321"/>
      <c r="AZ82" s="321"/>
      <c r="BA82" s="321"/>
      <c r="BB82" s="321"/>
      <c r="BC82" s="321"/>
      <c r="BD82" s="321"/>
      <c r="BE82" s="321"/>
      <c r="BF82" s="321"/>
    </row>
    <row r="83" spans="1:58" s="175" customFormat="1" ht="11.25">
      <c r="A83" s="26" t="s">
        <v>260</v>
      </c>
      <c r="B83" s="26" t="s">
        <v>98</v>
      </c>
      <c r="C83" s="272"/>
      <c r="D83" s="273"/>
      <c r="E83" s="273"/>
      <c r="F83" s="273"/>
      <c r="G83" s="272"/>
      <c r="H83" s="28">
        <v>141.6</v>
      </c>
      <c r="I83" s="28">
        <v>133.5</v>
      </c>
      <c r="J83" s="29">
        <v>154.6</v>
      </c>
      <c r="K83" s="27">
        <v>152</v>
      </c>
      <c r="L83" s="28">
        <v>170.3</v>
      </c>
      <c r="M83" s="28">
        <v>172</v>
      </c>
      <c r="N83" s="29">
        <v>192.7</v>
      </c>
      <c r="O83" s="27">
        <v>238.5</v>
      </c>
      <c r="P83" s="28">
        <v>262.2</v>
      </c>
      <c r="Q83" s="28">
        <v>291.3</v>
      </c>
      <c r="R83" s="29">
        <v>330</v>
      </c>
      <c r="S83" s="27">
        <v>340.2</v>
      </c>
      <c r="T83" s="28">
        <v>371.9</v>
      </c>
      <c r="U83" s="28">
        <v>400</v>
      </c>
      <c r="V83" s="29">
        <v>419.8</v>
      </c>
      <c r="W83" s="27">
        <v>440.6</v>
      </c>
      <c r="X83" s="28">
        <v>465</v>
      </c>
      <c r="Y83" s="28">
        <v>498.90000000000003</v>
      </c>
      <c r="Z83" s="29">
        <v>517.70000000000005</v>
      </c>
      <c r="AA83" s="27">
        <v>538.20000000000005</v>
      </c>
      <c r="AB83" s="28">
        <v>618.20000000000005</v>
      </c>
      <c r="AC83" s="28">
        <v>483.1</v>
      </c>
      <c r="AD83" s="29">
        <v>501</v>
      </c>
      <c r="AE83" s="27">
        <v>516.6</v>
      </c>
      <c r="AF83" s="28">
        <v>530.1</v>
      </c>
      <c r="AG83" s="28">
        <v>550.5</v>
      </c>
      <c r="AH83" s="29">
        <v>579.79999999999995</v>
      </c>
      <c r="AI83" s="28">
        <v>612.29999999999995</v>
      </c>
      <c r="AJ83" s="28">
        <v>631.70000000000005</v>
      </c>
      <c r="AK83" s="28">
        <v>519.1</v>
      </c>
      <c r="AL83" s="29">
        <v>542.20000000000005</v>
      </c>
      <c r="AM83" s="28">
        <v>507</v>
      </c>
      <c r="AN83" s="28">
        <v>545.1</v>
      </c>
      <c r="AO83" s="28">
        <v>497.8</v>
      </c>
      <c r="AP83" s="29">
        <v>538.70000000000005</v>
      </c>
      <c r="AQ83" s="28">
        <v>593.29999999999995</v>
      </c>
      <c r="AR83" s="28">
        <v>633.79999999999995</v>
      </c>
      <c r="AS83" s="28">
        <v>643.20000000000005</v>
      </c>
      <c r="AT83" s="29">
        <v>700</v>
      </c>
      <c r="AU83" s="271"/>
      <c r="AV83" s="321"/>
      <c r="AW83" s="321"/>
      <c r="AX83" s="321"/>
      <c r="AY83" s="321"/>
      <c r="AZ83" s="321"/>
      <c r="BA83" s="321"/>
      <c r="BB83" s="321"/>
      <c r="BC83" s="321"/>
      <c r="BD83" s="321"/>
      <c r="BE83" s="321"/>
      <c r="BF83" s="321"/>
    </row>
    <row r="84" spans="1:58" s="17" customFormat="1" ht="11.25">
      <c r="A84" s="50" t="s">
        <v>261</v>
      </c>
      <c r="B84" s="50" t="s">
        <v>99</v>
      </c>
      <c r="C84" s="269"/>
      <c r="D84" s="270"/>
      <c r="E84" s="270"/>
      <c r="F84" s="270"/>
      <c r="G84" s="269"/>
      <c r="H84" s="33">
        <f t="shared" ref="H84:AT84" si="123">SUM(H85:H87)</f>
        <v>132.69999999999999</v>
      </c>
      <c r="I84" s="33">
        <f t="shared" si="123"/>
        <v>141.19999999999999</v>
      </c>
      <c r="J84" s="34">
        <f t="shared" si="123"/>
        <v>164.2</v>
      </c>
      <c r="K84" s="32">
        <f t="shared" si="123"/>
        <v>180.7</v>
      </c>
      <c r="L84" s="33">
        <f t="shared" si="123"/>
        <v>198.29999999999998</v>
      </c>
      <c r="M84" s="33">
        <f t="shared" si="123"/>
        <v>202.6</v>
      </c>
      <c r="N84" s="34">
        <f t="shared" si="123"/>
        <v>224.1</v>
      </c>
      <c r="O84" s="32">
        <f t="shared" si="123"/>
        <v>246</v>
      </c>
      <c r="P84" s="33">
        <f t="shared" si="123"/>
        <v>259</v>
      </c>
      <c r="Q84" s="33">
        <f t="shared" si="123"/>
        <v>280.89999999999998</v>
      </c>
      <c r="R84" s="34">
        <f t="shared" si="123"/>
        <v>305.5</v>
      </c>
      <c r="S84" s="32">
        <f t="shared" si="123"/>
        <v>334.9</v>
      </c>
      <c r="T84" s="33">
        <f t="shared" si="123"/>
        <v>348.7</v>
      </c>
      <c r="U84" s="33">
        <f t="shared" si="123"/>
        <v>369.59999999999997</v>
      </c>
      <c r="V84" s="34">
        <f t="shared" si="123"/>
        <v>382.79999999999995</v>
      </c>
      <c r="W84" s="32">
        <f t="shared" si="123"/>
        <v>400.9</v>
      </c>
      <c r="X84" s="33">
        <f t="shared" si="123"/>
        <v>426.70000000000005</v>
      </c>
      <c r="Y84" s="33">
        <f t="shared" si="123"/>
        <v>447.2</v>
      </c>
      <c r="Z84" s="34">
        <f t="shared" si="123"/>
        <v>470.5</v>
      </c>
      <c r="AA84" s="32">
        <f t="shared" si="123"/>
        <v>506.59999999999997</v>
      </c>
      <c r="AB84" s="33">
        <f t="shared" si="123"/>
        <v>569.4</v>
      </c>
      <c r="AC84" s="33">
        <f t="shared" si="123"/>
        <v>470.6</v>
      </c>
      <c r="AD84" s="34">
        <f t="shared" si="123"/>
        <v>486.9</v>
      </c>
      <c r="AE84" s="32">
        <f t="shared" si="123"/>
        <v>525</v>
      </c>
      <c r="AF84" s="33">
        <f t="shared" si="123"/>
        <v>536.80000000000007</v>
      </c>
      <c r="AG84" s="33">
        <f t="shared" si="123"/>
        <v>550.19999999999993</v>
      </c>
      <c r="AH84" s="34">
        <f t="shared" si="123"/>
        <v>566.6</v>
      </c>
      <c r="AI84" s="33">
        <f t="shared" si="123"/>
        <v>602</v>
      </c>
      <c r="AJ84" s="33">
        <f t="shared" si="123"/>
        <v>626.1</v>
      </c>
      <c r="AK84" s="33">
        <f t="shared" si="123"/>
        <v>514.70000000000005</v>
      </c>
      <c r="AL84" s="34">
        <f t="shared" si="123"/>
        <v>515.9</v>
      </c>
      <c r="AM84" s="33">
        <f t="shared" si="123"/>
        <v>494.6</v>
      </c>
      <c r="AN84" s="33">
        <f t="shared" si="123"/>
        <v>515.79999999999995</v>
      </c>
      <c r="AO84" s="33">
        <f t="shared" si="123"/>
        <v>468.3</v>
      </c>
      <c r="AP84" s="34">
        <f t="shared" si="123"/>
        <v>531.5</v>
      </c>
      <c r="AQ84" s="33">
        <f t="shared" si="123"/>
        <v>567.39999999999986</v>
      </c>
      <c r="AR84" s="33">
        <f t="shared" si="123"/>
        <v>606.5</v>
      </c>
      <c r="AS84" s="33">
        <f t="shared" si="123"/>
        <v>606.9</v>
      </c>
      <c r="AT84" s="34">
        <f t="shared" si="123"/>
        <v>633.09999999999991</v>
      </c>
      <c r="AU84" s="271"/>
      <c r="AV84" s="321"/>
      <c r="AW84" s="321"/>
      <c r="AX84" s="321"/>
      <c r="AY84" s="321"/>
      <c r="AZ84" s="321"/>
      <c r="BA84" s="321"/>
      <c r="BB84" s="321"/>
      <c r="BC84" s="321"/>
      <c r="BD84" s="321"/>
      <c r="BE84" s="321"/>
      <c r="BF84" s="321"/>
    </row>
    <row r="85" spans="1:58" s="17" customFormat="1" ht="11.25">
      <c r="A85" s="30" t="s">
        <v>262</v>
      </c>
      <c r="B85" s="30" t="s">
        <v>104</v>
      </c>
      <c r="C85" s="272"/>
      <c r="D85" s="273"/>
      <c r="E85" s="273"/>
      <c r="F85" s="273"/>
      <c r="G85" s="272"/>
      <c r="H85" s="28">
        <v>28.5</v>
      </c>
      <c r="I85" s="28">
        <v>32.799999999999997</v>
      </c>
      <c r="J85" s="29">
        <v>44.9</v>
      </c>
      <c r="K85" s="27">
        <v>51.7</v>
      </c>
      <c r="L85" s="28">
        <v>56.6</v>
      </c>
      <c r="M85" s="28">
        <v>63.9</v>
      </c>
      <c r="N85" s="29">
        <v>75.900000000000006</v>
      </c>
      <c r="O85" s="27">
        <v>85.6</v>
      </c>
      <c r="P85" s="28">
        <v>88.1</v>
      </c>
      <c r="Q85" s="28">
        <v>92.2</v>
      </c>
      <c r="R85" s="29">
        <v>90.1</v>
      </c>
      <c r="S85" s="27">
        <v>98.4</v>
      </c>
      <c r="T85" s="28">
        <v>97.8</v>
      </c>
      <c r="U85" s="28">
        <v>98.7</v>
      </c>
      <c r="V85" s="29">
        <v>96.9</v>
      </c>
      <c r="W85" s="27">
        <v>95.899999999999991</v>
      </c>
      <c r="X85" s="28">
        <v>96.9</v>
      </c>
      <c r="Y85" s="28">
        <v>96</v>
      </c>
      <c r="Z85" s="29">
        <v>70.399999999999991</v>
      </c>
      <c r="AA85" s="27">
        <v>86.5</v>
      </c>
      <c r="AB85" s="28">
        <v>91.3</v>
      </c>
      <c r="AC85" s="28">
        <v>105.19999999999999</v>
      </c>
      <c r="AD85" s="29">
        <v>103.5</v>
      </c>
      <c r="AE85" s="27">
        <v>108.3</v>
      </c>
      <c r="AF85" s="28">
        <v>106.60000000000001</v>
      </c>
      <c r="AG85" s="28">
        <v>103.8</v>
      </c>
      <c r="AH85" s="29">
        <v>87.8</v>
      </c>
      <c r="AI85" s="28">
        <v>97.8</v>
      </c>
      <c r="AJ85" s="28">
        <v>101.5</v>
      </c>
      <c r="AK85" s="28">
        <v>106.5</v>
      </c>
      <c r="AL85" s="29">
        <v>101.7</v>
      </c>
      <c r="AM85" s="28">
        <v>103.3</v>
      </c>
      <c r="AN85" s="28">
        <v>99.7</v>
      </c>
      <c r="AO85" s="28">
        <v>104.1</v>
      </c>
      <c r="AP85" s="29">
        <v>141.9</v>
      </c>
      <c r="AQ85" s="28">
        <v>139.19999999999999</v>
      </c>
      <c r="AR85" s="28">
        <v>155.6</v>
      </c>
      <c r="AS85" s="28">
        <v>157</v>
      </c>
      <c r="AT85" s="29">
        <v>163.80000000000001</v>
      </c>
      <c r="AU85" s="271"/>
      <c r="AV85" s="321"/>
      <c r="AW85" s="321"/>
      <c r="AX85" s="321"/>
      <c r="AY85" s="321"/>
      <c r="AZ85" s="321"/>
      <c r="BA85" s="321"/>
      <c r="BB85" s="321"/>
      <c r="BC85" s="321"/>
      <c r="BD85" s="321"/>
      <c r="BE85" s="321"/>
      <c r="BF85" s="321"/>
    </row>
    <row r="86" spans="1:58" s="17" customFormat="1" ht="11.25">
      <c r="A86" s="26" t="s">
        <v>263</v>
      </c>
      <c r="B86" s="26" t="s">
        <v>105</v>
      </c>
      <c r="C86" s="272"/>
      <c r="D86" s="273"/>
      <c r="E86" s="273"/>
      <c r="F86" s="273"/>
      <c r="G86" s="272"/>
      <c r="H86" s="28">
        <v>104.2</v>
      </c>
      <c r="I86" s="28">
        <v>108.4</v>
      </c>
      <c r="J86" s="29">
        <v>119.3</v>
      </c>
      <c r="K86" s="27">
        <v>129</v>
      </c>
      <c r="L86" s="28">
        <v>141.69999999999999</v>
      </c>
      <c r="M86" s="28">
        <v>138.69999999999999</v>
      </c>
      <c r="N86" s="29">
        <v>148.19999999999999</v>
      </c>
      <c r="O86" s="27">
        <v>160.4</v>
      </c>
      <c r="P86" s="28">
        <v>170.9</v>
      </c>
      <c r="Q86" s="28">
        <v>188.7</v>
      </c>
      <c r="R86" s="29">
        <v>215.4</v>
      </c>
      <c r="S86" s="27">
        <v>236.5</v>
      </c>
      <c r="T86" s="28">
        <v>250.9</v>
      </c>
      <c r="U86" s="28">
        <v>270.89999999999998</v>
      </c>
      <c r="V86" s="29">
        <v>285.89999999999998</v>
      </c>
      <c r="W86" s="27">
        <v>305</v>
      </c>
      <c r="X86" s="28">
        <v>329.8</v>
      </c>
      <c r="Y86" s="28">
        <v>351.2</v>
      </c>
      <c r="Z86" s="29">
        <v>400.1</v>
      </c>
      <c r="AA86" s="27">
        <v>420.09999999999997</v>
      </c>
      <c r="AB86" s="28">
        <v>478.1</v>
      </c>
      <c r="AC86" s="28">
        <v>365.40000000000003</v>
      </c>
      <c r="AD86" s="29">
        <v>383.4</v>
      </c>
      <c r="AE86" s="27">
        <v>416.7</v>
      </c>
      <c r="AF86" s="28">
        <v>430.20000000000005</v>
      </c>
      <c r="AG86" s="28">
        <v>446.4</v>
      </c>
      <c r="AH86" s="29">
        <v>478.8</v>
      </c>
      <c r="AI86" s="28">
        <v>504.20000000000005</v>
      </c>
      <c r="AJ86" s="28">
        <v>524.5</v>
      </c>
      <c r="AK86" s="28">
        <v>408.1</v>
      </c>
      <c r="AL86" s="29">
        <v>414.2</v>
      </c>
      <c r="AM86" s="28">
        <v>382.8</v>
      </c>
      <c r="AN86" s="28">
        <v>407.3</v>
      </c>
      <c r="AO86" s="28">
        <v>355.5</v>
      </c>
      <c r="AP86" s="29">
        <v>385.3</v>
      </c>
      <c r="AQ86" s="28">
        <v>423.9</v>
      </c>
      <c r="AR86" s="28">
        <v>446</v>
      </c>
      <c r="AS86" s="28">
        <v>445</v>
      </c>
      <c r="AT86" s="29">
        <v>464</v>
      </c>
      <c r="AU86" s="271"/>
      <c r="AV86" s="321"/>
      <c r="AW86" s="321"/>
      <c r="AX86" s="321"/>
      <c r="AY86" s="321"/>
      <c r="AZ86" s="321"/>
      <c r="BA86" s="321"/>
      <c r="BB86" s="321"/>
      <c r="BC86" s="321"/>
      <c r="BD86" s="321"/>
      <c r="BE86" s="321"/>
      <c r="BF86" s="321"/>
    </row>
    <row r="87" spans="1:58" s="173" customFormat="1" ht="11.25">
      <c r="A87" s="26" t="s">
        <v>264</v>
      </c>
      <c r="B87" s="26" t="s">
        <v>102</v>
      </c>
      <c r="C87" s="272"/>
      <c r="D87" s="273"/>
      <c r="E87" s="273"/>
      <c r="F87" s="273"/>
      <c r="G87" s="272"/>
      <c r="H87" s="28">
        <v>0</v>
      </c>
      <c r="I87" s="28">
        <v>0</v>
      </c>
      <c r="J87" s="29">
        <v>0</v>
      </c>
      <c r="K87" s="27">
        <v>0</v>
      </c>
      <c r="L87" s="28">
        <v>0</v>
      </c>
      <c r="M87" s="28">
        <v>0</v>
      </c>
      <c r="N87" s="29">
        <v>0</v>
      </c>
      <c r="O87" s="27">
        <v>0</v>
      </c>
      <c r="P87" s="28">
        <v>0</v>
      </c>
      <c r="Q87" s="28">
        <v>0</v>
      </c>
      <c r="R87" s="29">
        <v>0</v>
      </c>
      <c r="S87" s="27">
        <v>0</v>
      </c>
      <c r="T87" s="28">
        <v>0</v>
      </c>
      <c r="U87" s="28">
        <v>0</v>
      </c>
      <c r="V87" s="29">
        <v>0</v>
      </c>
      <c r="W87" s="27">
        <v>0</v>
      </c>
      <c r="X87" s="28">
        <v>0</v>
      </c>
      <c r="Y87" s="28">
        <v>0</v>
      </c>
      <c r="Z87" s="29">
        <v>0</v>
      </c>
      <c r="AA87" s="27">
        <v>0</v>
      </c>
      <c r="AB87" s="28">
        <v>0</v>
      </c>
      <c r="AC87" s="28">
        <v>0</v>
      </c>
      <c r="AD87" s="29">
        <v>0</v>
      </c>
      <c r="AE87" s="27">
        <v>0</v>
      </c>
      <c r="AF87" s="28">
        <v>0</v>
      </c>
      <c r="AG87" s="28">
        <v>0</v>
      </c>
      <c r="AH87" s="29">
        <v>0</v>
      </c>
      <c r="AI87" s="28">
        <v>0</v>
      </c>
      <c r="AJ87" s="28">
        <v>0.1</v>
      </c>
      <c r="AK87" s="28">
        <v>0.1</v>
      </c>
      <c r="AL87" s="29">
        <v>0</v>
      </c>
      <c r="AM87" s="28">
        <v>8.5</v>
      </c>
      <c r="AN87" s="28">
        <v>8.8000000000000007</v>
      </c>
      <c r="AO87" s="28">
        <v>8.6999999999999993</v>
      </c>
      <c r="AP87" s="29">
        <v>4.3</v>
      </c>
      <c r="AQ87" s="28">
        <v>4.3</v>
      </c>
      <c r="AR87" s="28">
        <v>4.9000000000000004</v>
      </c>
      <c r="AS87" s="28">
        <v>4.9000000000000004</v>
      </c>
      <c r="AT87" s="29">
        <v>5.3</v>
      </c>
      <c r="AU87" s="271"/>
      <c r="AV87" s="321"/>
      <c r="AW87" s="321"/>
      <c r="AX87" s="321"/>
      <c r="AY87" s="321"/>
      <c r="AZ87" s="321"/>
      <c r="BA87" s="321"/>
      <c r="BB87" s="321"/>
      <c r="BC87" s="321"/>
      <c r="BD87" s="321"/>
      <c r="BE87" s="321"/>
      <c r="BF87" s="321"/>
    </row>
    <row r="88" spans="1:58" s="17" customFormat="1" ht="11.25">
      <c r="A88" s="26" t="s">
        <v>265</v>
      </c>
      <c r="B88" s="26"/>
      <c r="C88" s="272"/>
      <c r="D88" s="273"/>
      <c r="E88" s="273"/>
      <c r="F88" s="273"/>
      <c r="G88" s="272"/>
      <c r="H88" s="28"/>
      <c r="I88" s="28"/>
      <c r="J88" s="29"/>
      <c r="K88" s="27"/>
      <c r="L88" s="28"/>
      <c r="M88" s="28"/>
      <c r="N88" s="29"/>
      <c r="O88" s="27"/>
      <c r="P88" s="28"/>
      <c r="Q88" s="28"/>
      <c r="R88" s="29"/>
      <c r="S88" s="27"/>
      <c r="T88" s="28"/>
      <c r="U88" s="28"/>
      <c r="V88" s="29"/>
      <c r="W88" s="27"/>
      <c r="X88" s="28"/>
      <c r="Y88" s="28"/>
      <c r="Z88" s="29"/>
      <c r="AA88" s="27"/>
      <c r="AB88" s="28"/>
      <c r="AC88" s="28"/>
      <c r="AD88" s="29"/>
      <c r="AE88" s="27"/>
      <c r="AF88" s="28"/>
      <c r="AG88" s="28"/>
      <c r="AH88" s="29"/>
      <c r="AI88" s="28"/>
      <c r="AJ88" s="28"/>
      <c r="AK88" s="28"/>
      <c r="AL88" s="29"/>
      <c r="AM88" s="28"/>
      <c r="AN88" s="28"/>
      <c r="AO88" s="28"/>
      <c r="AP88" s="29"/>
      <c r="AQ88" s="28"/>
      <c r="AR88" s="28"/>
      <c r="AS88" s="28"/>
      <c r="AT88" s="29"/>
      <c r="AU88" s="268"/>
      <c r="AV88" s="320"/>
      <c r="AW88" s="320"/>
      <c r="AX88" s="320"/>
      <c r="AY88" s="320"/>
      <c r="AZ88" s="320"/>
      <c r="BA88" s="320"/>
      <c r="BB88" s="320"/>
      <c r="BC88" s="320"/>
      <c r="BD88" s="320"/>
      <c r="BE88" s="320"/>
      <c r="BF88" s="320"/>
    </row>
    <row r="89" spans="1:58" s="17" customFormat="1" ht="11.25">
      <c r="A89" s="26" t="s">
        <v>317</v>
      </c>
      <c r="B89" s="26" t="s">
        <v>348</v>
      </c>
      <c r="C89" s="274"/>
      <c r="D89" s="275"/>
      <c r="E89" s="275"/>
      <c r="F89" s="275"/>
      <c r="G89" s="274"/>
      <c r="H89" s="276">
        <f t="shared" ref="H89:AQ89" si="124">H83/H81</f>
        <v>2.4738809881547221E-2</v>
      </c>
      <c r="I89" s="276">
        <f t="shared" si="124"/>
        <v>2.0731101310640411E-2</v>
      </c>
      <c r="J89" s="277">
        <f t="shared" si="124"/>
        <v>2.1175471517210203E-2</v>
      </c>
      <c r="K89" s="278">
        <f t="shared" si="124"/>
        <v>1.890312150230071E-2</v>
      </c>
      <c r="L89" s="276">
        <f t="shared" si="124"/>
        <v>1.9711104423713516E-2</v>
      </c>
      <c r="M89" s="276">
        <f t="shared" si="124"/>
        <v>1.8715588344105676E-2</v>
      </c>
      <c r="N89" s="277">
        <f t="shared" si="124"/>
        <v>1.9750327976385696E-2</v>
      </c>
      <c r="O89" s="278">
        <f t="shared" si="124"/>
        <v>2.3334996624497343E-2</v>
      </c>
      <c r="P89" s="276">
        <f t="shared" si="124"/>
        <v>2.3612899739735772E-2</v>
      </c>
      <c r="Q89" s="276">
        <f t="shared" si="124"/>
        <v>2.5081149961685166E-2</v>
      </c>
      <c r="R89" s="277">
        <f t="shared" si="124"/>
        <v>2.6201289421030904E-2</v>
      </c>
      <c r="S89" s="278">
        <f t="shared" si="124"/>
        <v>2.6016732689925205E-2</v>
      </c>
      <c r="T89" s="276">
        <f t="shared" si="124"/>
        <v>2.6940880740059257E-2</v>
      </c>
      <c r="U89" s="276">
        <f t="shared" si="124"/>
        <v>2.7509181189221903E-2</v>
      </c>
      <c r="V89" s="277">
        <f t="shared" si="124"/>
        <v>2.7970071091152585E-2</v>
      </c>
      <c r="W89" s="278">
        <f t="shared" si="124"/>
        <v>2.8837909480642736E-2</v>
      </c>
      <c r="X89" s="276">
        <f t="shared" si="124"/>
        <v>2.936495907850864E-2</v>
      </c>
      <c r="Y89" s="276">
        <f t="shared" si="124"/>
        <v>3.0491196117857732E-2</v>
      </c>
      <c r="Z89" s="277">
        <f t="shared" si="124"/>
        <v>3.1126743626743631E-2</v>
      </c>
      <c r="AA89" s="278">
        <f t="shared" si="124"/>
        <v>3.1733490566037741E-2</v>
      </c>
      <c r="AB89" s="276">
        <f t="shared" si="124"/>
        <v>3.4906043906405275E-2</v>
      </c>
      <c r="AC89" s="276">
        <f t="shared" si="124"/>
        <v>2.6454562878186351E-2</v>
      </c>
      <c r="AD89" s="277">
        <f t="shared" si="124"/>
        <v>2.707303234173624E-2</v>
      </c>
      <c r="AE89" s="278">
        <f t="shared" si="124"/>
        <v>2.7120103314679296E-2</v>
      </c>
      <c r="AF89" s="276">
        <f t="shared" si="124"/>
        <v>2.6647430516108603E-2</v>
      </c>
      <c r="AG89" s="276">
        <f t="shared" si="124"/>
        <v>2.6187723880064507E-2</v>
      </c>
      <c r="AH89" s="277">
        <f t="shared" si="124"/>
        <v>2.6391253288665144E-2</v>
      </c>
      <c r="AI89" s="276">
        <f t="shared" si="124"/>
        <v>2.6341715244466435E-2</v>
      </c>
      <c r="AJ89" s="276">
        <f t="shared" si="124"/>
        <v>2.5635614715013293E-2</v>
      </c>
      <c r="AK89" s="276">
        <f t="shared" si="124"/>
        <v>2.0315435190983097E-2</v>
      </c>
      <c r="AL89" s="277">
        <f t="shared" si="124"/>
        <v>2.049634263897027E-2</v>
      </c>
      <c r="AM89" s="276">
        <f t="shared" si="124"/>
        <v>1.8263030870645871E-2</v>
      </c>
      <c r="AN89" s="276">
        <f>AN83/AN81</f>
        <v>1.8438464036369541E-2</v>
      </c>
      <c r="AO89" s="276">
        <f>AO83/AO81</f>
        <v>1.627765533748831E-2</v>
      </c>
      <c r="AP89" s="277">
        <f t="shared" si="124"/>
        <v>1.7025593699234527E-2</v>
      </c>
      <c r="AQ89" s="276">
        <f t="shared" si="124"/>
        <v>1.8096028206989523E-2</v>
      </c>
      <c r="AR89" s="276">
        <f>AR83/AR81</f>
        <v>1.8466666472423829E-2</v>
      </c>
      <c r="AS89" s="276">
        <f>AS83/AS81</f>
        <v>1.7968839484513333E-2</v>
      </c>
      <c r="AT89" s="277">
        <f>AT83/AT81</f>
        <v>1.8662187741608681E-2</v>
      </c>
      <c r="AU89" s="271"/>
      <c r="AV89" s="321"/>
      <c r="AW89" s="321"/>
      <c r="AX89" s="321"/>
      <c r="AY89" s="321"/>
      <c r="AZ89" s="321"/>
      <c r="BA89" s="321"/>
      <c r="BB89" s="321"/>
      <c r="BC89" s="321"/>
      <c r="BD89" s="321"/>
      <c r="BE89" s="321"/>
      <c r="BF89" s="321"/>
    </row>
    <row r="90" spans="1:58" s="175" customFormat="1" ht="11.25">
      <c r="A90" s="26" t="s">
        <v>266</v>
      </c>
      <c r="B90" s="26" t="s">
        <v>347</v>
      </c>
      <c r="C90" s="274"/>
      <c r="D90" s="275"/>
      <c r="E90" s="275"/>
      <c r="F90" s="275"/>
      <c r="G90" s="274"/>
      <c r="H90" s="276">
        <f t="shared" ref="H90:AQ90" si="125">H86/H83</f>
        <v>0.73587570621468934</v>
      </c>
      <c r="I90" s="276">
        <f t="shared" si="125"/>
        <v>0.81198501872659179</v>
      </c>
      <c r="J90" s="277">
        <f t="shared" si="125"/>
        <v>0.77166882276843463</v>
      </c>
      <c r="K90" s="278">
        <f t="shared" si="125"/>
        <v>0.84868421052631582</v>
      </c>
      <c r="L90" s="276">
        <f t="shared" si="125"/>
        <v>0.83206106870228991</v>
      </c>
      <c r="M90" s="276">
        <f t="shared" si="125"/>
        <v>0.8063953488372092</v>
      </c>
      <c r="N90" s="277">
        <f t="shared" si="125"/>
        <v>0.7690710949662688</v>
      </c>
      <c r="O90" s="278">
        <f t="shared" si="125"/>
        <v>0.67253668763102725</v>
      </c>
      <c r="P90" s="276">
        <f t="shared" si="125"/>
        <v>0.65179252479023653</v>
      </c>
      <c r="Q90" s="276">
        <f t="shared" si="125"/>
        <v>0.64778578784757979</v>
      </c>
      <c r="R90" s="277">
        <f t="shared" si="125"/>
        <v>0.65272727272727271</v>
      </c>
      <c r="S90" s="278">
        <f t="shared" si="125"/>
        <v>0.69517930629041746</v>
      </c>
      <c r="T90" s="276">
        <f t="shared" si="125"/>
        <v>0.67464372143049212</v>
      </c>
      <c r="U90" s="276">
        <f t="shared" si="125"/>
        <v>0.67724999999999991</v>
      </c>
      <c r="V90" s="277">
        <f t="shared" si="125"/>
        <v>0.6810385898046688</v>
      </c>
      <c r="W90" s="278">
        <f t="shared" si="125"/>
        <v>0.69223785746709032</v>
      </c>
      <c r="X90" s="276">
        <f t="shared" si="125"/>
        <v>0.70924731182795697</v>
      </c>
      <c r="Y90" s="276">
        <f t="shared" si="125"/>
        <v>0.7039486871116456</v>
      </c>
      <c r="Z90" s="277">
        <f t="shared" si="125"/>
        <v>0.7728414139463009</v>
      </c>
      <c r="AA90" s="278">
        <f t="shared" si="125"/>
        <v>0.78056484578223695</v>
      </c>
      <c r="AB90" s="276">
        <f t="shared" si="125"/>
        <v>0.77337431252021993</v>
      </c>
      <c r="AC90" s="276">
        <f t="shared" si="125"/>
        <v>0.75636514179258951</v>
      </c>
      <c r="AD90" s="277">
        <f t="shared" si="125"/>
        <v>0.76526946107784422</v>
      </c>
      <c r="AE90" s="278">
        <f t="shared" si="125"/>
        <v>0.80662020905923337</v>
      </c>
      <c r="AF90" s="276">
        <f t="shared" si="125"/>
        <v>0.81154499151103565</v>
      </c>
      <c r="AG90" s="276">
        <f t="shared" si="125"/>
        <v>0.81089918256130789</v>
      </c>
      <c r="AH90" s="277">
        <f t="shared" si="125"/>
        <v>0.82580200068989318</v>
      </c>
      <c r="AI90" s="276">
        <f t="shared" si="125"/>
        <v>0.82345255593663247</v>
      </c>
      <c r="AJ90" s="276">
        <f t="shared" si="125"/>
        <v>0.83029919265474117</v>
      </c>
      <c r="AK90" s="276">
        <f t="shared" si="125"/>
        <v>0.78616836832980164</v>
      </c>
      <c r="AL90" s="277">
        <f t="shared" si="125"/>
        <v>0.76392475101438573</v>
      </c>
      <c r="AM90" s="276">
        <f t="shared" si="125"/>
        <v>0.75502958579881663</v>
      </c>
      <c r="AN90" s="276">
        <f>AN86/AN83</f>
        <v>0.74720234819299214</v>
      </c>
      <c r="AO90" s="276">
        <f>AO86/AO83</f>
        <v>0.71414222579349129</v>
      </c>
      <c r="AP90" s="277">
        <f t="shared" si="125"/>
        <v>0.71524039354000368</v>
      </c>
      <c r="AQ90" s="276">
        <f t="shared" si="125"/>
        <v>0.71447834147985845</v>
      </c>
      <c r="AR90" s="276">
        <f>AR86/AR83</f>
        <v>0.70369201640896184</v>
      </c>
      <c r="AS90" s="276">
        <f>AS86/AS83</f>
        <v>0.69185323383084574</v>
      </c>
      <c r="AT90" s="277">
        <f>AT86/AT83</f>
        <v>0.66285714285714281</v>
      </c>
      <c r="AU90" s="271"/>
      <c r="AV90" s="321"/>
      <c r="AW90" s="321"/>
      <c r="AX90" s="321"/>
      <c r="AY90" s="321"/>
      <c r="AZ90" s="321"/>
      <c r="BA90" s="321"/>
      <c r="BB90" s="321"/>
      <c r="BC90" s="321"/>
      <c r="BD90" s="321"/>
      <c r="BE90" s="321"/>
      <c r="BF90" s="321"/>
    </row>
    <row r="91" spans="1:58" s="17" customFormat="1" ht="11.25">
      <c r="A91" s="26"/>
      <c r="B91" s="26"/>
      <c r="C91" s="279"/>
      <c r="D91" s="280"/>
      <c r="E91" s="280"/>
      <c r="F91" s="280"/>
      <c r="G91" s="279"/>
      <c r="H91" s="55"/>
      <c r="I91" s="55"/>
      <c r="J91" s="177"/>
      <c r="K91" s="108"/>
      <c r="L91" s="55"/>
      <c r="M91" s="55"/>
      <c r="N91" s="177"/>
      <c r="O91" s="108"/>
      <c r="P91" s="55"/>
      <c r="Q91" s="55"/>
      <c r="R91" s="177"/>
      <c r="S91" s="108"/>
      <c r="T91" s="55"/>
      <c r="U91" s="55"/>
      <c r="V91" s="177"/>
      <c r="W91" s="108"/>
      <c r="X91" s="55"/>
      <c r="Y91" s="55"/>
      <c r="Z91" s="177"/>
      <c r="AA91" s="108"/>
      <c r="AB91" s="55"/>
      <c r="AC91" s="55"/>
      <c r="AD91" s="177"/>
      <c r="AE91" s="108"/>
      <c r="AF91" s="55"/>
      <c r="AG91" s="55"/>
      <c r="AH91" s="177"/>
      <c r="AI91" s="55"/>
      <c r="AJ91" s="55"/>
      <c r="AK91" s="55"/>
      <c r="AL91" s="177"/>
      <c r="AM91" s="55"/>
      <c r="AN91" s="55"/>
      <c r="AO91" s="55"/>
      <c r="AP91" s="177"/>
      <c r="AQ91" s="55"/>
      <c r="AR91" s="55"/>
      <c r="AS91" s="55"/>
      <c r="AT91" s="177"/>
      <c r="AU91" s="281"/>
      <c r="AV91" s="166"/>
      <c r="AW91" s="166"/>
      <c r="AX91" s="166"/>
      <c r="AY91" s="166"/>
      <c r="AZ91" s="166"/>
      <c r="BA91" s="166"/>
      <c r="BB91" s="166"/>
      <c r="BC91" s="166"/>
      <c r="BD91" s="166"/>
      <c r="BE91" s="166"/>
      <c r="BF91" s="166"/>
    </row>
    <row r="92" spans="1:58" s="176" customFormat="1" ht="11.25">
      <c r="A92" s="51" t="s">
        <v>268</v>
      </c>
      <c r="B92" s="51" t="s">
        <v>106</v>
      </c>
      <c r="C92" s="256"/>
      <c r="D92" s="282"/>
      <c r="E92" s="282"/>
      <c r="F92" s="282"/>
      <c r="G92" s="256"/>
      <c r="H92" s="38">
        <f>H69+H81</f>
        <v>19814.3</v>
      </c>
      <c r="I92" s="38">
        <f t="shared" ref="I92:AQ92" si="126">I69+I81</f>
        <v>22105.7</v>
      </c>
      <c r="J92" s="39">
        <f t="shared" si="126"/>
        <v>24298.000000000004</v>
      </c>
      <c r="K92" s="37">
        <f t="shared" si="126"/>
        <v>25614.5</v>
      </c>
      <c r="L92" s="38">
        <f t="shared" si="126"/>
        <v>25776.7</v>
      </c>
      <c r="M92" s="38">
        <f t="shared" si="126"/>
        <v>26134</v>
      </c>
      <c r="N92" s="39">
        <f t="shared" si="126"/>
        <v>27361.4</v>
      </c>
      <c r="O92" s="37">
        <f t="shared" si="126"/>
        <v>27576.400000000001</v>
      </c>
      <c r="P92" s="38">
        <f t="shared" si="126"/>
        <v>28994.400000000001</v>
      </c>
      <c r="Q92" s="38">
        <f t="shared" si="126"/>
        <v>30667.8</v>
      </c>
      <c r="R92" s="39">
        <f t="shared" si="126"/>
        <v>32178.299999999996</v>
      </c>
      <c r="S92" s="37">
        <f t="shared" si="126"/>
        <v>32988.699999999997</v>
      </c>
      <c r="T92" s="38">
        <f t="shared" si="126"/>
        <v>34754.699999999997</v>
      </c>
      <c r="U92" s="38">
        <f t="shared" si="126"/>
        <v>36919.199999999997</v>
      </c>
      <c r="V92" s="39">
        <f t="shared" si="126"/>
        <v>39466.1</v>
      </c>
      <c r="W92" s="37">
        <f t="shared" si="126"/>
        <v>45105.899999999994</v>
      </c>
      <c r="X92" s="38">
        <f t="shared" si="126"/>
        <v>45907.6</v>
      </c>
      <c r="Y92" s="38">
        <f t="shared" si="126"/>
        <v>46744.9</v>
      </c>
      <c r="Z92" s="39">
        <f t="shared" si="126"/>
        <v>46510</v>
      </c>
      <c r="AA92" s="37">
        <f t="shared" si="126"/>
        <v>46670.399999999994</v>
      </c>
      <c r="AB92" s="38">
        <f t="shared" si="126"/>
        <v>48136.7</v>
      </c>
      <c r="AC92" s="38">
        <f t="shared" si="126"/>
        <v>49764.5</v>
      </c>
      <c r="AD92" s="39">
        <f t="shared" si="126"/>
        <v>49982.299999999996</v>
      </c>
      <c r="AE92" s="37">
        <f t="shared" si="126"/>
        <v>52346.2</v>
      </c>
      <c r="AF92" s="38">
        <f t="shared" si="126"/>
        <v>55099.1</v>
      </c>
      <c r="AG92" s="38">
        <f t="shared" si="126"/>
        <v>57750.8</v>
      </c>
      <c r="AH92" s="39">
        <f t="shared" si="126"/>
        <v>58750.5</v>
      </c>
      <c r="AI92" s="38">
        <f t="shared" si="126"/>
        <v>61323.100000000006</v>
      </c>
      <c r="AJ92" s="38">
        <f t="shared" si="126"/>
        <v>65943.7</v>
      </c>
      <c r="AK92" s="38">
        <f t="shared" si="126"/>
        <v>69046.5</v>
      </c>
      <c r="AL92" s="39">
        <f t="shared" si="126"/>
        <v>70046.899999999994</v>
      </c>
      <c r="AM92" s="38">
        <f t="shared" si="126"/>
        <v>72907</v>
      </c>
      <c r="AN92" s="38">
        <f>AN69+AN81</f>
        <v>75810.8</v>
      </c>
      <c r="AO92" s="38">
        <f>AO69+AO81</f>
        <v>77888.3</v>
      </c>
      <c r="AP92" s="39">
        <f t="shared" si="126"/>
        <v>79447.899999999994</v>
      </c>
      <c r="AQ92" s="38">
        <f t="shared" si="126"/>
        <v>82130</v>
      </c>
      <c r="AR92" s="38">
        <f>AR69+AR81</f>
        <v>84778.5</v>
      </c>
      <c r="AS92" s="38">
        <f>AS69+AS81</f>
        <v>87896</v>
      </c>
      <c r="AT92" s="39">
        <f>AT69+AT81</f>
        <v>89043.6</v>
      </c>
      <c r="AU92" s="283"/>
      <c r="AV92" s="322"/>
      <c r="AW92" s="322"/>
      <c r="AX92" s="322"/>
      <c r="AY92" s="322"/>
      <c r="AZ92" s="322"/>
      <c r="BA92" s="322"/>
      <c r="BB92" s="322"/>
      <c r="BC92" s="322"/>
      <c r="BD92" s="322"/>
      <c r="BE92" s="322"/>
      <c r="BF92" s="322"/>
    </row>
    <row r="93" spans="1:58" s="17" customFormat="1" ht="11.25">
      <c r="C93" s="272"/>
      <c r="D93" s="273"/>
      <c r="E93" s="273"/>
      <c r="F93" s="273"/>
      <c r="G93" s="272"/>
      <c r="H93" s="28"/>
      <c r="I93" s="28"/>
      <c r="J93" s="29"/>
      <c r="K93" s="27"/>
      <c r="L93" s="28"/>
      <c r="M93" s="28"/>
      <c r="N93" s="29"/>
      <c r="O93" s="27"/>
      <c r="P93" s="28"/>
      <c r="Q93" s="28"/>
      <c r="R93" s="29"/>
      <c r="S93" s="27"/>
      <c r="T93" s="28"/>
      <c r="U93" s="28"/>
      <c r="V93" s="29"/>
      <c r="W93" s="27"/>
      <c r="X93" s="28"/>
      <c r="Y93" s="28"/>
      <c r="Z93" s="29"/>
      <c r="AA93" s="27"/>
      <c r="AB93" s="28"/>
      <c r="AC93" s="28"/>
      <c r="AD93" s="29"/>
      <c r="AE93" s="27"/>
      <c r="AF93" s="28"/>
      <c r="AG93" s="28"/>
      <c r="AH93" s="29"/>
      <c r="AI93" s="28"/>
      <c r="AJ93" s="28"/>
      <c r="AK93" s="28"/>
      <c r="AL93" s="29"/>
      <c r="AM93" s="28"/>
      <c r="AN93" s="28"/>
      <c r="AO93" s="28"/>
      <c r="AP93" s="29"/>
      <c r="AQ93" s="28"/>
      <c r="AR93" s="28"/>
      <c r="AS93" s="28"/>
      <c r="AT93" s="29"/>
      <c r="AU93" s="268"/>
      <c r="AV93" s="320"/>
      <c r="AW93" s="320"/>
      <c r="AX93" s="320"/>
      <c r="AY93" s="320"/>
      <c r="AZ93" s="320"/>
      <c r="BA93" s="320"/>
      <c r="BB93" s="320"/>
      <c r="BC93" s="320"/>
      <c r="BD93" s="320"/>
      <c r="BE93" s="320"/>
      <c r="BF93" s="320"/>
    </row>
    <row r="94" spans="1:58" s="176" customFormat="1" ht="21" customHeight="1">
      <c r="A94" s="51" t="s">
        <v>269</v>
      </c>
      <c r="B94" s="51" t="s">
        <v>107</v>
      </c>
      <c r="C94" s="256"/>
      <c r="D94" s="282"/>
      <c r="E94" s="282"/>
      <c r="F94" s="282"/>
      <c r="G94" s="256"/>
      <c r="H94" s="38">
        <f t="shared" ref="H94:AQ94" si="127">H95+H96</f>
        <v>401.1</v>
      </c>
      <c r="I94" s="38">
        <f t="shared" si="127"/>
        <v>412.7</v>
      </c>
      <c r="J94" s="39">
        <f t="shared" si="127"/>
        <v>502.9</v>
      </c>
      <c r="K94" s="37">
        <f t="shared" si="127"/>
        <v>681.30000000000007</v>
      </c>
      <c r="L94" s="38">
        <f t="shared" si="127"/>
        <v>770</v>
      </c>
      <c r="M94" s="38">
        <f t="shared" si="127"/>
        <v>816.29999999999984</v>
      </c>
      <c r="N94" s="39">
        <f t="shared" si="127"/>
        <v>892.80000000000007</v>
      </c>
      <c r="O94" s="37">
        <f t="shared" si="127"/>
        <v>943.6</v>
      </c>
      <c r="P94" s="38">
        <f t="shared" si="127"/>
        <v>985.6</v>
      </c>
      <c r="Q94" s="38">
        <f t="shared" si="127"/>
        <v>1046.3</v>
      </c>
      <c r="R94" s="39">
        <f t="shared" si="127"/>
        <v>1091.3</v>
      </c>
      <c r="S94" s="37">
        <f t="shared" si="127"/>
        <v>1130.3000000000002</v>
      </c>
      <c r="T94" s="38">
        <f t="shared" si="127"/>
        <v>1147.5999999999999</v>
      </c>
      <c r="U94" s="38">
        <f t="shared" si="127"/>
        <v>1188.3</v>
      </c>
      <c r="V94" s="39">
        <f t="shared" si="127"/>
        <v>1119.3999999999999</v>
      </c>
      <c r="W94" s="37">
        <f t="shared" si="127"/>
        <v>1206.5</v>
      </c>
      <c r="X94" s="38">
        <f t="shared" si="127"/>
        <v>1304.1999999999998</v>
      </c>
      <c r="Y94" s="38">
        <f t="shared" si="127"/>
        <v>1374.7</v>
      </c>
      <c r="Z94" s="39">
        <f t="shared" si="127"/>
        <v>1446.3</v>
      </c>
      <c r="AA94" s="37">
        <f t="shared" si="127"/>
        <v>1492.5</v>
      </c>
      <c r="AB94" s="38">
        <f t="shared" si="127"/>
        <v>1596.7</v>
      </c>
      <c r="AC94" s="38">
        <f t="shared" si="127"/>
        <v>1509.3000000000002</v>
      </c>
      <c r="AD94" s="39">
        <f t="shared" si="127"/>
        <v>1567.9</v>
      </c>
      <c r="AE94" s="37">
        <f t="shared" si="127"/>
        <v>1652.7</v>
      </c>
      <c r="AF94" s="38">
        <f t="shared" si="127"/>
        <v>1628.4</v>
      </c>
      <c r="AG94" s="38">
        <f t="shared" si="127"/>
        <v>1677.8</v>
      </c>
      <c r="AH94" s="39">
        <f t="shared" si="127"/>
        <v>1738.6</v>
      </c>
      <c r="AI94" s="38">
        <f t="shared" si="127"/>
        <v>1805.1000000000001</v>
      </c>
      <c r="AJ94" s="38">
        <f t="shared" si="127"/>
        <v>1675.6000000000001</v>
      </c>
      <c r="AK94" s="38">
        <f t="shared" si="127"/>
        <v>1519.5</v>
      </c>
      <c r="AL94" s="39">
        <f t="shared" si="127"/>
        <v>1572</v>
      </c>
      <c r="AM94" s="38">
        <f t="shared" si="127"/>
        <v>1596.9999999999998</v>
      </c>
      <c r="AN94" s="38">
        <f>AN95+AN96</f>
        <v>1521.1</v>
      </c>
      <c r="AO94" s="38">
        <f>AO95+AO96</f>
        <v>1492.9</v>
      </c>
      <c r="AP94" s="39">
        <f t="shared" si="127"/>
        <v>1493.8</v>
      </c>
      <c r="AQ94" s="38">
        <f t="shared" si="127"/>
        <v>1540.7</v>
      </c>
      <c r="AR94" s="38">
        <f>AR95+AR96</f>
        <v>1569.8999999999999</v>
      </c>
      <c r="AS94" s="38">
        <f>AS95+AS96</f>
        <v>1633.4</v>
      </c>
      <c r="AT94" s="39">
        <f>AT95+AT96</f>
        <v>1712.8000000000002</v>
      </c>
      <c r="AU94" s="283"/>
      <c r="AV94" s="322"/>
      <c r="AW94" s="322"/>
      <c r="AX94" s="322"/>
      <c r="AY94" s="322"/>
      <c r="AZ94" s="322"/>
      <c r="BA94" s="322"/>
      <c r="BB94" s="322"/>
      <c r="BC94" s="322"/>
      <c r="BD94" s="322"/>
      <c r="BE94" s="322"/>
      <c r="BF94" s="322"/>
    </row>
    <row r="95" spans="1:58" s="17" customFormat="1" ht="11.25">
      <c r="A95" s="26" t="s">
        <v>270</v>
      </c>
      <c r="B95" s="26" t="s">
        <v>108</v>
      </c>
      <c r="C95" s="272"/>
      <c r="D95" s="273"/>
      <c r="E95" s="273"/>
      <c r="F95" s="273"/>
      <c r="G95" s="272"/>
      <c r="H95" s="28">
        <f t="shared" ref="H95:AQ95" si="128">H73+H74+H85+H86</f>
        <v>394.8</v>
      </c>
      <c r="I95" s="28">
        <f t="shared" si="128"/>
        <v>405.4</v>
      </c>
      <c r="J95" s="29">
        <f t="shared" si="128"/>
        <v>493.59999999999997</v>
      </c>
      <c r="K95" s="27">
        <f t="shared" si="128"/>
        <v>664.80000000000007</v>
      </c>
      <c r="L95" s="28">
        <f t="shared" si="128"/>
        <v>756.5</v>
      </c>
      <c r="M95" s="28">
        <f t="shared" si="128"/>
        <v>801.39999999999986</v>
      </c>
      <c r="N95" s="29">
        <f t="shared" si="128"/>
        <v>872.7</v>
      </c>
      <c r="O95" s="27">
        <f t="shared" si="128"/>
        <v>926.2</v>
      </c>
      <c r="P95" s="28">
        <f t="shared" si="128"/>
        <v>968</v>
      </c>
      <c r="Q95" s="28">
        <f t="shared" si="128"/>
        <v>1037.0999999999999</v>
      </c>
      <c r="R95" s="29">
        <f t="shared" si="128"/>
        <v>1080.2</v>
      </c>
      <c r="S95" s="27">
        <f t="shared" si="128"/>
        <v>1120.4000000000001</v>
      </c>
      <c r="T95" s="28">
        <f t="shared" si="128"/>
        <v>1137</v>
      </c>
      <c r="U95" s="28">
        <f t="shared" si="128"/>
        <v>1179.3</v>
      </c>
      <c r="V95" s="29">
        <f t="shared" si="128"/>
        <v>1108.8</v>
      </c>
      <c r="W95" s="27">
        <f t="shared" si="128"/>
        <v>1191.5999999999999</v>
      </c>
      <c r="X95" s="28">
        <f t="shared" si="128"/>
        <v>1286.5999999999999</v>
      </c>
      <c r="Y95" s="28">
        <f t="shared" si="128"/>
        <v>1354.7</v>
      </c>
      <c r="Z95" s="29">
        <f t="shared" si="128"/>
        <v>1424</v>
      </c>
      <c r="AA95" s="27">
        <f t="shared" si="128"/>
        <v>1469</v>
      </c>
      <c r="AB95" s="28">
        <f t="shared" si="128"/>
        <v>1569.5</v>
      </c>
      <c r="AC95" s="28">
        <f t="shared" si="128"/>
        <v>1492.9</v>
      </c>
      <c r="AD95" s="29">
        <f t="shared" si="128"/>
        <v>1554.4</v>
      </c>
      <c r="AE95" s="27">
        <f t="shared" si="128"/>
        <v>1638.7</v>
      </c>
      <c r="AF95" s="28">
        <f t="shared" si="128"/>
        <v>1612.2</v>
      </c>
      <c r="AG95" s="28">
        <f t="shared" si="128"/>
        <v>1661.5</v>
      </c>
      <c r="AH95" s="29">
        <f t="shared" si="128"/>
        <v>1720.3</v>
      </c>
      <c r="AI95" s="28">
        <f t="shared" si="128"/>
        <v>1791.0000000000002</v>
      </c>
      <c r="AJ95" s="28">
        <f t="shared" si="128"/>
        <v>1661.7</v>
      </c>
      <c r="AK95" s="28">
        <f t="shared" si="128"/>
        <v>1504.9</v>
      </c>
      <c r="AL95" s="29">
        <f t="shared" si="128"/>
        <v>1545.9</v>
      </c>
      <c r="AM95" s="28">
        <f t="shared" si="128"/>
        <v>1555.8999999999999</v>
      </c>
      <c r="AN95" s="28">
        <f>AN73+AN74+AN85+AN86</f>
        <v>1479.6</v>
      </c>
      <c r="AO95" s="28">
        <f>AO73+AO74+AO85+AO86</f>
        <v>1453.7</v>
      </c>
      <c r="AP95" s="29">
        <f t="shared" si="128"/>
        <v>1467</v>
      </c>
      <c r="AQ95" s="28">
        <f t="shared" si="128"/>
        <v>1515.5</v>
      </c>
      <c r="AR95" s="28">
        <f>AR73+AR74+AR85+AR86</f>
        <v>1535.1</v>
      </c>
      <c r="AS95" s="28">
        <f>AS73+AS74+AS85+AS86</f>
        <v>1592</v>
      </c>
      <c r="AT95" s="29">
        <f>AT73+AT74+AT85+AT86</f>
        <v>1666.9</v>
      </c>
      <c r="AU95" s="268"/>
      <c r="AV95" s="320"/>
      <c r="AW95" s="320"/>
      <c r="AX95" s="320"/>
      <c r="AY95" s="320"/>
      <c r="AZ95" s="320"/>
      <c r="BA95" s="320"/>
      <c r="BB95" s="320"/>
      <c r="BC95" s="320"/>
      <c r="BD95" s="320"/>
      <c r="BE95" s="320"/>
      <c r="BF95" s="320"/>
    </row>
    <row r="96" spans="1:58" s="17" customFormat="1" ht="11.25">
      <c r="A96" s="26" t="s">
        <v>264</v>
      </c>
      <c r="B96" s="26" t="s">
        <v>109</v>
      </c>
      <c r="C96" s="272"/>
      <c r="D96" s="273"/>
      <c r="E96" s="273"/>
      <c r="F96" s="273"/>
      <c r="G96" s="272"/>
      <c r="H96" s="28">
        <f t="shared" ref="H96:AQ96" si="129">H75+H87</f>
        <v>6.3</v>
      </c>
      <c r="I96" s="28">
        <f t="shared" si="129"/>
        <v>7.3</v>
      </c>
      <c r="J96" s="29">
        <f t="shared" si="129"/>
        <v>9.3000000000000007</v>
      </c>
      <c r="K96" s="27">
        <f t="shared" si="129"/>
        <v>16.5</v>
      </c>
      <c r="L96" s="28">
        <f t="shared" si="129"/>
        <v>13.5</v>
      </c>
      <c r="M96" s="28">
        <f t="shared" si="129"/>
        <v>14.9</v>
      </c>
      <c r="N96" s="29">
        <f t="shared" si="129"/>
        <v>20.100000000000001</v>
      </c>
      <c r="O96" s="27">
        <f t="shared" si="129"/>
        <v>17.399999999999999</v>
      </c>
      <c r="P96" s="28">
        <f t="shared" si="129"/>
        <v>17.600000000000001</v>
      </c>
      <c r="Q96" s="28">
        <f t="shared" si="129"/>
        <v>9.1999999999999993</v>
      </c>
      <c r="R96" s="29">
        <f t="shared" si="129"/>
        <v>11.1</v>
      </c>
      <c r="S96" s="27">
        <f t="shared" si="129"/>
        <v>9.9</v>
      </c>
      <c r="T96" s="28">
        <f t="shared" si="129"/>
        <v>10.6</v>
      </c>
      <c r="U96" s="28">
        <f t="shared" si="129"/>
        <v>9</v>
      </c>
      <c r="V96" s="29">
        <f t="shared" si="129"/>
        <v>10.6</v>
      </c>
      <c r="W96" s="27">
        <f t="shared" si="129"/>
        <v>14.9</v>
      </c>
      <c r="X96" s="28">
        <f t="shared" si="129"/>
        <v>17.600000000000001</v>
      </c>
      <c r="Y96" s="28">
        <f t="shared" si="129"/>
        <v>20</v>
      </c>
      <c r="Z96" s="29">
        <f t="shared" si="129"/>
        <v>22.3</v>
      </c>
      <c r="AA96" s="27">
        <f t="shared" si="129"/>
        <v>23.5</v>
      </c>
      <c r="AB96" s="28">
        <f t="shared" si="129"/>
        <v>27.2</v>
      </c>
      <c r="AC96" s="28">
        <f t="shared" si="129"/>
        <v>16.399999999999999</v>
      </c>
      <c r="AD96" s="29">
        <f t="shared" si="129"/>
        <v>13.5</v>
      </c>
      <c r="AE96" s="27">
        <f t="shared" si="129"/>
        <v>14</v>
      </c>
      <c r="AF96" s="28">
        <f t="shared" si="129"/>
        <v>16.2</v>
      </c>
      <c r="AG96" s="28">
        <f t="shared" si="129"/>
        <v>16.3</v>
      </c>
      <c r="AH96" s="29">
        <f t="shared" si="129"/>
        <v>18.3</v>
      </c>
      <c r="AI96" s="28">
        <f t="shared" si="129"/>
        <v>14.1</v>
      </c>
      <c r="AJ96" s="28">
        <f t="shared" si="129"/>
        <v>13.9</v>
      </c>
      <c r="AK96" s="28">
        <f t="shared" si="129"/>
        <v>14.6</v>
      </c>
      <c r="AL96" s="29">
        <f t="shared" si="129"/>
        <v>26.1</v>
      </c>
      <c r="AM96" s="28">
        <f t="shared" si="129"/>
        <v>41.1</v>
      </c>
      <c r="AN96" s="28">
        <f>AN75+AN87</f>
        <v>41.5</v>
      </c>
      <c r="AO96" s="28">
        <f>AO75+AO87</f>
        <v>39.200000000000003</v>
      </c>
      <c r="AP96" s="29">
        <f t="shared" si="129"/>
        <v>26.8</v>
      </c>
      <c r="AQ96" s="28">
        <f t="shared" si="129"/>
        <v>25.2</v>
      </c>
      <c r="AR96" s="28">
        <f>AR75+AR87</f>
        <v>34.799999999999997</v>
      </c>
      <c r="AS96" s="28">
        <f>AS75+AS87</f>
        <v>41.4</v>
      </c>
      <c r="AT96" s="29">
        <f>AT75+AT87</f>
        <v>45.9</v>
      </c>
      <c r="AU96" s="268"/>
      <c r="AV96" s="320"/>
      <c r="AW96" s="320"/>
      <c r="AX96" s="320"/>
      <c r="AY96" s="320"/>
      <c r="AZ96" s="320"/>
      <c r="BA96" s="320"/>
      <c r="BB96" s="320"/>
      <c r="BC96" s="320"/>
      <c r="BD96" s="320"/>
      <c r="BE96" s="320"/>
      <c r="BF96" s="320"/>
    </row>
    <row r="97" spans="1:58" s="17" customFormat="1" ht="11.25">
      <c r="A97" s="26"/>
      <c r="B97" s="26"/>
      <c r="C97" s="279"/>
      <c r="D97" s="280"/>
      <c r="E97" s="280"/>
      <c r="F97" s="280"/>
      <c r="G97" s="279"/>
      <c r="H97" s="55"/>
      <c r="I97" s="55"/>
      <c r="J97" s="177"/>
      <c r="K97" s="108"/>
      <c r="L97" s="55"/>
      <c r="M97" s="55"/>
      <c r="N97" s="177"/>
      <c r="O97" s="108"/>
      <c r="P97" s="55"/>
      <c r="Q97" s="55"/>
      <c r="R97" s="177"/>
      <c r="S97" s="108"/>
      <c r="T97" s="55"/>
      <c r="U97" s="55"/>
      <c r="V97" s="177"/>
      <c r="W97" s="108"/>
      <c r="X97" s="55"/>
      <c r="Y97" s="55"/>
      <c r="Z97" s="177"/>
      <c r="AA97" s="108"/>
      <c r="AB97" s="55"/>
      <c r="AC97" s="55"/>
      <c r="AD97" s="177"/>
      <c r="AE97" s="108"/>
      <c r="AF97" s="55"/>
      <c r="AG97" s="55"/>
      <c r="AH97" s="177"/>
      <c r="AI97" s="55"/>
      <c r="AJ97" s="55"/>
      <c r="AK97" s="55"/>
      <c r="AL97" s="177"/>
      <c r="AM97" s="55"/>
      <c r="AN97" s="55"/>
      <c r="AO97" s="55"/>
      <c r="AP97" s="177"/>
      <c r="AQ97" s="55"/>
      <c r="AR97" s="55"/>
      <c r="AS97" s="55"/>
      <c r="AT97" s="177"/>
      <c r="AU97" s="281"/>
      <c r="AV97" s="166"/>
      <c r="AW97" s="166"/>
      <c r="AX97" s="166"/>
      <c r="AY97" s="166"/>
      <c r="AZ97" s="166"/>
      <c r="BA97" s="166"/>
      <c r="BB97" s="166"/>
      <c r="BC97" s="166"/>
      <c r="BD97" s="166"/>
      <c r="BE97" s="166"/>
      <c r="BF97" s="166"/>
    </row>
    <row r="98" spans="1:58" s="17" customFormat="1" ht="11.25">
      <c r="A98" s="26" t="s">
        <v>271</v>
      </c>
      <c r="B98" s="26" t="s">
        <v>110</v>
      </c>
      <c r="C98" s="274"/>
      <c r="D98" s="275"/>
      <c r="E98" s="275"/>
      <c r="F98" s="275"/>
      <c r="G98" s="274"/>
      <c r="H98" s="276">
        <f t="shared" ref="H98:AQ98" si="130">H94/H92</f>
        <v>2.0242955845021022E-2</v>
      </c>
      <c r="I98" s="276">
        <f t="shared" si="130"/>
        <v>1.8669392961996226E-2</v>
      </c>
      <c r="J98" s="277">
        <f t="shared" si="130"/>
        <v>2.0697176722363975E-2</v>
      </c>
      <c r="K98" s="278">
        <f t="shared" si="130"/>
        <v>2.6598215854301277E-2</v>
      </c>
      <c r="L98" s="276">
        <f t="shared" si="130"/>
        <v>2.9871938611226417E-2</v>
      </c>
      <c r="M98" s="276">
        <f t="shared" si="130"/>
        <v>3.1235172572128257E-2</v>
      </c>
      <c r="N98" s="277">
        <f t="shared" si="130"/>
        <v>3.2629909288267415E-2</v>
      </c>
      <c r="O98" s="278">
        <f t="shared" si="130"/>
        <v>3.4217664379686978E-2</v>
      </c>
      <c r="P98" s="276">
        <f t="shared" si="130"/>
        <v>3.3992771017851725E-2</v>
      </c>
      <c r="Q98" s="276">
        <f t="shared" si="130"/>
        <v>3.4117217407182779E-2</v>
      </c>
      <c r="R98" s="277">
        <f t="shared" si="130"/>
        <v>3.3914159542300246E-2</v>
      </c>
      <c r="S98" s="278">
        <f t="shared" si="130"/>
        <v>3.4263247718158044E-2</v>
      </c>
      <c r="T98" s="276">
        <f t="shared" si="130"/>
        <v>3.3019994418021163E-2</v>
      </c>
      <c r="U98" s="276">
        <f t="shared" si="130"/>
        <v>3.2186504582981217E-2</v>
      </c>
      <c r="V98" s="277">
        <f t="shared" si="130"/>
        <v>2.8363582923065615E-2</v>
      </c>
      <c r="W98" s="278">
        <f t="shared" si="130"/>
        <v>2.6748163765715798E-2</v>
      </c>
      <c r="X98" s="276">
        <f t="shared" si="130"/>
        <v>2.8409239428765606E-2</v>
      </c>
      <c r="Y98" s="276">
        <f t="shared" si="130"/>
        <v>2.9408555799670125E-2</v>
      </c>
      <c r="Z98" s="277">
        <f t="shared" si="130"/>
        <v>3.1096538378843259E-2</v>
      </c>
      <c r="AA98" s="278">
        <f t="shared" si="130"/>
        <v>3.1979584490383628E-2</v>
      </c>
      <c r="AB98" s="276">
        <f t="shared" si="130"/>
        <v>3.317011760257766E-2</v>
      </c>
      <c r="AC98" s="276">
        <f t="shared" si="130"/>
        <v>3.0328848878216404E-2</v>
      </c>
      <c r="AD98" s="277">
        <f t="shared" si="130"/>
        <v>3.1369104663050727E-2</v>
      </c>
      <c r="AE98" s="278">
        <f t="shared" si="130"/>
        <v>3.1572492368118411E-2</v>
      </c>
      <c r="AF98" s="276">
        <f t="shared" si="130"/>
        <v>2.9554021753531366E-2</v>
      </c>
      <c r="AG98" s="276">
        <f t="shared" si="130"/>
        <v>2.905241139516682E-2</v>
      </c>
      <c r="AH98" s="277">
        <f t="shared" si="130"/>
        <v>2.9592939634556299E-2</v>
      </c>
      <c r="AI98" s="276">
        <f t="shared" si="130"/>
        <v>2.9435889575054098E-2</v>
      </c>
      <c r="AJ98" s="276">
        <f t="shared" si="130"/>
        <v>2.540955390734824E-2</v>
      </c>
      <c r="AK98" s="276">
        <f t="shared" si="130"/>
        <v>2.2006908387825597E-2</v>
      </c>
      <c r="AL98" s="277">
        <f t="shared" si="130"/>
        <v>2.2442106645690248E-2</v>
      </c>
      <c r="AM98" s="276">
        <f t="shared" si="130"/>
        <v>2.1904618212242991E-2</v>
      </c>
      <c r="AN98" s="276">
        <f>AN94/AN92</f>
        <v>2.0064423538598719E-2</v>
      </c>
      <c r="AO98" s="276">
        <f>AO94/AO92</f>
        <v>1.9167191991608497E-2</v>
      </c>
      <c r="AP98" s="277">
        <f t="shared" si="130"/>
        <v>1.880225909054865E-2</v>
      </c>
      <c r="AQ98" s="276">
        <f t="shared" si="130"/>
        <v>1.8759284061853159E-2</v>
      </c>
      <c r="AR98" s="276">
        <f>AR94/AR92</f>
        <v>1.8517666625382612E-2</v>
      </c>
      <c r="AS98" s="276">
        <f>AS94/AS92</f>
        <v>1.8583325748611997E-2</v>
      </c>
      <c r="AT98" s="277">
        <f>AT94/AT92</f>
        <v>1.9235520576436713E-2</v>
      </c>
      <c r="AU98" s="284"/>
      <c r="AV98" s="323"/>
      <c r="AW98" s="323"/>
      <c r="AX98" s="323"/>
      <c r="AY98" s="323"/>
      <c r="AZ98" s="323"/>
      <c r="BA98" s="323"/>
      <c r="BB98" s="323"/>
      <c r="BC98" s="323"/>
      <c r="BD98" s="323"/>
      <c r="BE98" s="323"/>
      <c r="BF98" s="323"/>
    </row>
    <row r="99" spans="1:58" s="17" customFormat="1" ht="11.25">
      <c r="A99" s="26" t="s">
        <v>317</v>
      </c>
      <c r="B99" s="26" t="s">
        <v>349</v>
      </c>
      <c r="C99" s="274"/>
      <c r="D99" s="275"/>
      <c r="E99" s="275"/>
      <c r="F99" s="275"/>
      <c r="G99" s="274"/>
      <c r="H99" s="276">
        <f t="shared" ref="H99:AQ99" si="131">(H83+H71)/H92</f>
        <v>1.8410945630176184E-2</v>
      </c>
      <c r="I99" s="276">
        <f t="shared" si="131"/>
        <v>1.7823457298343864E-2</v>
      </c>
      <c r="J99" s="277">
        <f t="shared" si="131"/>
        <v>2.0672483331961474E-2</v>
      </c>
      <c r="K99" s="278">
        <f t="shared" si="131"/>
        <v>3.5054363739288295E-2</v>
      </c>
      <c r="L99" s="276">
        <f t="shared" si="131"/>
        <v>3.9826665166603943E-2</v>
      </c>
      <c r="M99" s="276">
        <f t="shared" si="131"/>
        <v>3.6986301369863014E-2</v>
      </c>
      <c r="N99" s="277">
        <f t="shared" si="131"/>
        <v>4.2567266294853336E-2</v>
      </c>
      <c r="O99" s="278">
        <f t="shared" si="131"/>
        <v>4.6351227861504765E-2</v>
      </c>
      <c r="P99" s="276">
        <f t="shared" si="131"/>
        <v>4.5139751124355046E-2</v>
      </c>
      <c r="Q99" s="276">
        <f t="shared" si="131"/>
        <v>4.6645015292913088E-2</v>
      </c>
      <c r="R99" s="277">
        <f t="shared" si="131"/>
        <v>4.6851449579374926E-2</v>
      </c>
      <c r="S99" s="278">
        <f t="shared" si="131"/>
        <v>4.6224919442112003E-2</v>
      </c>
      <c r="T99" s="276">
        <f t="shared" si="131"/>
        <v>4.3683300388148938E-2</v>
      </c>
      <c r="U99" s="276">
        <f t="shared" si="131"/>
        <v>4.3048061713146547E-2</v>
      </c>
      <c r="V99" s="277">
        <f t="shared" si="131"/>
        <v>3.9350227156977759E-2</v>
      </c>
      <c r="W99" s="278">
        <f t="shared" si="131"/>
        <v>3.5962036008593115E-2</v>
      </c>
      <c r="X99" s="276">
        <f t="shared" si="131"/>
        <v>4.3337050945812895E-2</v>
      </c>
      <c r="Y99" s="276">
        <f t="shared" si="131"/>
        <v>4.3281726990538005E-2</v>
      </c>
      <c r="Z99" s="277">
        <f t="shared" si="131"/>
        <v>4.074392603741131E-2</v>
      </c>
      <c r="AA99" s="278">
        <f t="shared" si="131"/>
        <v>4.3610082621961678E-2</v>
      </c>
      <c r="AB99" s="276">
        <f t="shared" si="131"/>
        <v>4.7514682144808432E-2</v>
      </c>
      <c r="AC99" s="276">
        <f t="shared" si="131"/>
        <v>4.4093681238633969E-2</v>
      </c>
      <c r="AD99" s="277">
        <f t="shared" si="131"/>
        <v>4.6308393171182613E-2</v>
      </c>
      <c r="AE99" s="278">
        <f t="shared" si="131"/>
        <v>4.6482839250986702E-2</v>
      </c>
      <c r="AF99" s="276">
        <f t="shared" si="131"/>
        <v>4.3521582022210889E-2</v>
      </c>
      <c r="AG99" s="276">
        <f t="shared" si="131"/>
        <v>4.1675613151679287E-2</v>
      </c>
      <c r="AH99" s="277">
        <f t="shared" si="131"/>
        <v>4.0500080850375736E-2</v>
      </c>
      <c r="AI99" s="276">
        <f t="shared" si="131"/>
        <v>4.4678106618876084E-2</v>
      </c>
      <c r="AJ99" s="276">
        <f t="shared" si="131"/>
        <v>3.8187120225283082E-2</v>
      </c>
      <c r="AK99" s="276">
        <f t="shared" si="131"/>
        <v>3.2056657469965895E-2</v>
      </c>
      <c r="AL99" s="277">
        <f t="shared" si="131"/>
        <v>3.2384016994328087E-2</v>
      </c>
      <c r="AM99" s="276">
        <f t="shared" si="131"/>
        <v>3.3371281221281905E-2</v>
      </c>
      <c r="AN99" s="276">
        <f>(AN83+AN71)/AN92</f>
        <v>2.9164710041313373E-2</v>
      </c>
      <c r="AO99" s="276">
        <f>(AO83+AO71)/AO92</f>
        <v>2.7728169699428543E-2</v>
      </c>
      <c r="AP99" s="277">
        <f t="shared" si="131"/>
        <v>2.6140401445475591E-2</v>
      </c>
      <c r="AQ99" s="276">
        <f t="shared" si="131"/>
        <v>2.6358212589796665E-2</v>
      </c>
      <c r="AR99" s="276">
        <f>(AR83+AR71)/AR92</f>
        <v>2.7197933438312782E-2</v>
      </c>
      <c r="AS99" s="276">
        <f>(AS83+AS71)/AS92</f>
        <v>2.6987576226449445E-2</v>
      </c>
      <c r="AT99" s="277">
        <f>(AT83+AT71)/AT92</f>
        <v>2.8041319084134059E-2</v>
      </c>
      <c r="AU99" s="284"/>
      <c r="AV99" s="323"/>
      <c r="AW99" s="323"/>
      <c r="AX99" s="323"/>
      <c r="AY99" s="323"/>
      <c r="AZ99" s="323"/>
      <c r="BA99" s="323"/>
      <c r="BB99" s="323"/>
      <c r="BC99" s="323"/>
      <c r="BD99" s="323"/>
      <c r="BE99" s="323"/>
      <c r="BF99" s="323"/>
    </row>
    <row r="100" spans="1:58" s="17" customFormat="1" ht="11.25">
      <c r="A100" s="60" t="s">
        <v>266</v>
      </c>
      <c r="B100" s="60" t="s">
        <v>347</v>
      </c>
      <c r="C100" s="285"/>
      <c r="D100" s="286"/>
      <c r="E100" s="286"/>
      <c r="F100" s="286"/>
      <c r="G100" s="285"/>
      <c r="H100" s="287">
        <f t="shared" ref="H100:AQ100" si="132">(H86+H74)/(H83+H71)</f>
        <v>0.79221491228070184</v>
      </c>
      <c r="I100" s="287">
        <f t="shared" si="132"/>
        <v>0.76472081218274113</v>
      </c>
      <c r="J100" s="288">
        <f t="shared" si="132"/>
        <v>0.75154290264782009</v>
      </c>
      <c r="K100" s="289">
        <f t="shared" si="132"/>
        <v>0.59895311281879937</v>
      </c>
      <c r="L100" s="287">
        <f t="shared" si="132"/>
        <v>0.5993571011104617</v>
      </c>
      <c r="M100" s="287">
        <f t="shared" si="132"/>
        <v>0.66314918270225531</v>
      </c>
      <c r="N100" s="288">
        <f t="shared" si="132"/>
        <v>0.61784150425002138</v>
      </c>
      <c r="O100" s="289">
        <f t="shared" si="132"/>
        <v>0.59818494758253793</v>
      </c>
      <c r="P100" s="287">
        <f t="shared" si="132"/>
        <v>0.61674816625916873</v>
      </c>
      <c r="Q100" s="287">
        <f t="shared" si="132"/>
        <v>0.61139461726668987</v>
      </c>
      <c r="R100" s="288">
        <f t="shared" si="132"/>
        <v>0.61554789068718496</v>
      </c>
      <c r="S100" s="289">
        <f t="shared" si="132"/>
        <v>0.63348416289592757</v>
      </c>
      <c r="T100" s="287">
        <f t="shared" si="132"/>
        <v>0.64477670926096697</v>
      </c>
      <c r="U100" s="287">
        <f t="shared" si="132"/>
        <v>0.63845718240734917</v>
      </c>
      <c r="V100" s="288">
        <f t="shared" si="132"/>
        <v>0.61101094655505472</v>
      </c>
      <c r="W100" s="289">
        <f t="shared" si="132"/>
        <v>0.62653350594907842</v>
      </c>
      <c r="X100" s="287">
        <f t="shared" si="132"/>
        <v>0.55456144759989945</v>
      </c>
      <c r="Y100" s="287">
        <f t="shared" si="132"/>
        <v>0.58328390668248309</v>
      </c>
      <c r="Z100" s="288">
        <f t="shared" si="132"/>
        <v>0.68369393139841683</v>
      </c>
      <c r="AA100" s="289">
        <f t="shared" si="132"/>
        <v>0.6513536088045988</v>
      </c>
      <c r="AB100" s="287">
        <f t="shared" si="132"/>
        <v>0.62250786988457496</v>
      </c>
      <c r="AC100" s="287">
        <f t="shared" si="132"/>
        <v>0.61222257667593305</v>
      </c>
      <c r="AD100" s="288">
        <f t="shared" si="132"/>
        <v>0.60615225092888614</v>
      </c>
      <c r="AE100" s="289">
        <f t="shared" si="132"/>
        <v>0.60763603485122475</v>
      </c>
      <c r="AF100" s="287">
        <f t="shared" si="132"/>
        <v>0.60558798999165975</v>
      </c>
      <c r="AG100" s="287">
        <f t="shared" si="132"/>
        <v>0.61891307960777786</v>
      </c>
      <c r="AH100" s="288">
        <f t="shared" si="132"/>
        <v>0.65268555097923853</v>
      </c>
      <c r="AI100" s="287">
        <f t="shared" si="132"/>
        <v>0.59194101759252504</v>
      </c>
      <c r="AJ100" s="287">
        <f t="shared" si="132"/>
        <v>0.59093797156699235</v>
      </c>
      <c r="AK100" s="287">
        <f t="shared" si="132"/>
        <v>0.59297912713472478</v>
      </c>
      <c r="AL100" s="288">
        <f t="shared" si="132"/>
        <v>0.601745723858226</v>
      </c>
      <c r="AM100" s="287">
        <f t="shared" si="132"/>
        <v>0.56658446362515413</v>
      </c>
      <c r="AN100" s="287">
        <f>(AN86+AN74)/(AN83+AN71)</f>
        <v>0.58882858435097241</v>
      </c>
      <c r="AO100" s="287">
        <f>(AO86+AO74)/(AO83+AO71)</f>
        <v>0.59318423855165059</v>
      </c>
      <c r="AP100" s="288">
        <f t="shared" si="132"/>
        <v>0.60424691833590138</v>
      </c>
      <c r="AQ100" s="287">
        <f t="shared" si="132"/>
        <v>0.60439763488543974</v>
      </c>
      <c r="AR100" s="287">
        <f>(AR86+AR74)/(AR83+AR71)</f>
        <v>0.56717841963743598</v>
      </c>
      <c r="AS100" s="287">
        <f>(AS86+AS74)/(AS83+AS71)</f>
        <v>0.57286792293748146</v>
      </c>
      <c r="AT100" s="288">
        <f>(AT86+AT74)/(AT83+AT71)</f>
        <v>0.57058752853538397</v>
      </c>
      <c r="AU100" s="290"/>
      <c r="AV100" s="324"/>
      <c r="AW100" s="324"/>
      <c r="AX100" s="324"/>
      <c r="AY100" s="324"/>
      <c r="AZ100" s="324"/>
      <c r="BA100" s="324"/>
      <c r="BB100" s="324"/>
      <c r="BC100" s="324"/>
      <c r="BD100" s="324"/>
      <c r="BE100" s="324"/>
      <c r="BF100" s="324"/>
    </row>
    <row r="101" spans="1:58" s="3" customFormat="1" ht="12.75" customHeight="1">
      <c r="A101" s="11"/>
      <c r="B101" s="11"/>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S101" s="12"/>
      <c r="AT101" s="12"/>
      <c r="AU101" s="93"/>
      <c r="AV101" s="93"/>
      <c r="AW101" s="93"/>
      <c r="AX101" s="93"/>
      <c r="AY101" s="93"/>
      <c r="AZ101" s="93"/>
      <c r="BA101" s="93"/>
      <c r="BB101" s="93"/>
      <c r="BC101" s="93"/>
      <c r="BD101" s="93"/>
      <c r="BE101" s="93"/>
      <c r="BF101" s="93"/>
    </row>
    <row r="102" spans="1:58">
      <c r="AU102" s="94"/>
      <c r="AV102" s="94"/>
      <c r="AW102" s="94"/>
      <c r="AX102" s="94"/>
      <c r="AY102" s="94"/>
      <c r="AZ102" s="94"/>
      <c r="BA102" s="94"/>
      <c r="BB102" s="94"/>
      <c r="BC102" s="94"/>
      <c r="BD102" s="94"/>
      <c r="BE102" s="94"/>
      <c r="BF102" s="94"/>
    </row>
  </sheetData>
  <mergeCells count="29">
    <mergeCell ref="BC2:BF2"/>
    <mergeCell ref="AM65:AP65"/>
    <mergeCell ref="AQ65:AT65"/>
    <mergeCell ref="AQ2:AT2"/>
    <mergeCell ref="AE2:AH2"/>
    <mergeCell ref="AI2:AL2"/>
    <mergeCell ref="AM2:AP2"/>
    <mergeCell ref="AE65:AH65"/>
    <mergeCell ref="AI65:AL65"/>
    <mergeCell ref="AY2:BB2"/>
    <mergeCell ref="AU2:AX2"/>
    <mergeCell ref="O65:R65"/>
    <mergeCell ref="S65:V65"/>
    <mergeCell ref="W65:Z65"/>
    <mergeCell ref="AA65:AD65"/>
    <mergeCell ref="S2:V2"/>
    <mergeCell ref="W2:Z2"/>
    <mergeCell ref="AA2:AD2"/>
    <mergeCell ref="O2:R2"/>
    <mergeCell ref="A65:A66"/>
    <mergeCell ref="B65:B66"/>
    <mergeCell ref="C65:F65"/>
    <mergeCell ref="G65:J65"/>
    <mergeCell ref="K65:N65"/>
    <mergeCell ref="A2:A3"/>
    <mergeCell ref="B2:B3"/>
    <mergeCell ref="C2:F2"/>
    <mergeCell ref="G2:J2"/>
    <mergeCell ref="K2:N2"/>
  </mergeCells>
  <printOptions horizontalCentered="1"/>
  <pageMargins left="0.23622047244094491" right="0.23622047244094491" top="0.74803149606299213" bottom="0.74803149606299213" header="0.31496062992125984" footer="0.31496062992125984"/>
  <pageSetup paperSize="9" scale="29" orientation="landscape" r:id="rId1"/>
  <headerFooter alignWithMargins="0">
    <oddHeader xml:space="preserve">&amp;C&amp;"Times New Roman,Kursywa"&amp;12
</oddHeader>
  </headerFooter>
  <rowBreaks count="1" manualBreakCount="1">
    <brk id="101" max="46"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F46"/>
  <sheetViews>
    <sheetView showGridLines="0" view="pageBreakPreview" zoomScaleNormal="100" zoomScaleSheetLayoutView="100" workbookViewId="0">
      <pane xSplit="2" ySplit="4" topLeftCell="AK5" activePane="bottomRight" state="frozen"/>
      <selection pane="topRight" activeCell="C1" sqref="C1"/>
      <selection pane="bottomLeft" activeCell="A5" sqref="A5"/>
      <selection pane="bottomRight" activeCell="BC2" sqref="BC2:BF2"/>
    </sheetView>
  </sheetViews>
  <sheetFormatPr defaultColWidth="8.85546875" defaultRowHeight="13.5" outlineLevelRow="1" outlineLevelCol="1"/>
  <cols>
    <col min="1" max="1" width="36.7109375" style="52" customWidth="1" outlineLevel="1"/>
    <col min="2" max="2" width="44.7109375" style="52" customWidth="1"/>
    <col min="3" max="3" width="7.140625" style="13" bestFit="1" customWidth="1"/>
    <col min="4" max="4" width="6.7109375" style="13" customWidth="1"/>
    <col min="5" max="6" width="6.7109375" style="13" bestFit="1" customWidth="1"/>
    <col min="7" max="42" width="7.140625" style="13" bestFit="1" customWidth="1"/>
    <col min="43" max="43" width="7" style="13" customWidth="1"/>
    <col min="44" max="44" width="8" style="13" customWidth="1"/>
    <col min="45" max="46" width="7.140625" style="13" bestFit="1" customWidth="1"/>
    <col min="47" max="58" width="7" style="13" customWidth="1"/>
    <col min="59" max="16384" width="8.85546875" style="13"/>
  </cols>
  <sheetData>
    <row r="1" spans="1:58">
      <c r="A1" s="53" t="s">
        <v>424</v>
      </c>
      <c r="B1" s="53" t="s">
        <v>425</v>
      </c>
    </row>
    <row r="2" spans="1:58">
      <c r="A2" s="639" t="s">
        <v>234</v>
      </c>
      <c r="B2" s="639" t="s">
        <v>67</v>
      </c>
      <c r="C2" s="636">
        <v>2007</v>
      </c>
      <c r="D2" s="641"/>
      <c r="E2" s="641"/>
      <c r="F2" s="641"/>
      <c r="G2" s="636">
        <v>2008</v>
      </c>
      <c r="H2" s="641"/>
      <c r="I2" s="641"/>
      <c r="J2" s="641"/>
      <c r="K2" s="636">
        <v>2009</v>
      </c>
      <c r="L2" s="641"/>
      <c r="M2" s="641"/>
      <c r="N2" s="641"/>
      <c r="O2" s="636">
        <v>2010</v>
      </c>
      <c r="P2" s="641"/>
      <c r="Q2" s="641"/>
      <c r="R2" s="641"/>
      <c r="S2" s="636">
        <v>2011</v>
      </c>
      <c r="T2" s="641"/>
      <c r="U2" s="641"/>
      <c r="V2" s="641"/>
      <c r="W2" s="636">
        <v>2012</v>
      </c>
      <c r="X2" s="641"/>
      <c r="Y2" s="641"/>
      <c r="Z2" s="642"/>
      <c r="AA2" s="636">
        <v>2013</v>
      </c>
      <c r="AB2" s="641"/>
      <c r="AC2" s="641"/>
      <c r="AD2" s="642"/>
      <c r="AE2" s="645">
        <v>2014</v>
      </c>
      <c r="AF2" s="641"/>
      <c r="AG2" s="641"/>
      <c r="AH2" s="642"/>
      <c r="AI2" s="645">
        <v>2015</v>
      </c>
      <c r="AJ2" s="641"/>
      <c r="AK2" s="641"/>
      <c r="AL2" s="642"/>
      <c r="AM2" s="645">
        <v>2016</v>
      </c>
      <c r="AN2" s="641"/>
      <c r="AO2" s="641"/>
      <c r="AP2" s="642"/>
      <c r="AQ2" s="703">
        <v>2017</v>
      </c>
      <c r="AR2" s="704"/>
      <c r="AS2" s="704"/>
      <c r="AT2" s="704"/>
      <c r="AU2" s="703">
        <v>2018</v>
      </c>
      <c r="AV2" s="704"/>
      <c r="AW2" s="704"/>
      <c r="AX2" s="638"/>
      <c r="AY2" s="703">
        <v>2019</v>
      </c>
      <c r="AZ2" s="704"/>
      <c r="BA2" s="704"/>
      <c r="BB2" s="638"/>
      <c r="BC2" s="703">
        <v>2020</v>
      </c>
      <c r="BD2" s="704"/>
      <c r="BE2" s="704"/>
      <c r="BF2" s="638"/>
    </row>
    <row r="3" spans="1:58" s="14" customFormat="1">
      <c r="A3" s="640"/>
      <c r="B3" s="640"/>
      <c r="C3" s="20" t="s">
        <v>149</v>
      </c>
      <c r="D3" s="21" t="s">
        <v>150</v>
      </c>
      <c r="E3" s="21" t="s">
        <v>151</v>
      </c>
      <c r="F3" s="21" t="s">
        <v>152</v>
      </c>
      <c r="G3" s="20" t="s">
        <v>149</v>
      </c>
      <c r="H3" s="21" t="s">
        <v>150</v>
      </c>
      <c r="I3" s="21" t="s">
        <v>151</v>
      </c>
      <c r="J3" s="21" t="s">
        <v>152</v>
      </c>
      <c r="K3" s="20" t="s">
        <v>149</v>
      </c>
      <c r="L3" s="21" t="s">
        <v>150</v>
      </c>
      <c r="M3" s="21" t="s">
        <v>151</v>
      </c>
      <c r="N3" s="21" t="s">
        <v>152</v>
      </c>
      <c r="O3" s="20" t="s">
        <v>149</v>
      </c>
      <c r="P3" s="21" t="s">
        <v>150</v>
      </c>
      <c r="Q3" s="21" t="s">
        <v>151</v>
      </c>
      <c r="R3" s="21" t="s">
        <v>152</v>
      </c>
      <c r="S3" s="20" t="s">
        <v>149</v>
      </c>
      <c r="T3" s="21" t="s">
        <v>150</v>
      </c>
      <c r="U3" s="21" t="s">
        <v>151</v>
      </c>
      <c r="V3" s="21" t="s">
        <v>152</v>
      </c>
      <c r="W3" s="20" t="s">
        <v>149</v>
      </c>
      <c r="X3" s="21" t="s">
        <v>150</v>
      </c>
      <c r="Y3" s="21" t="s">
        <v>151</v>
      </c>
      <c r="Z3" s="43" t="s">
        <v>152</v>
      </c>
      <c r="AA3" s="180" t="s">
        <v>149</v>
      </c>
      <c r="AB3" s="181" t="s">
        <v>150</v>
      </c>
      <c r="AC3" s="181" t="s">
        <v>151</v>
      </c>
      <c r="AD3" s="182" t="s">
        <v>152</v>
      </c>
      <c r="AE3" s="180" t="s">
        <v>149</v>
      </c>
      <c r="AF3" s="181" t="s">
        <v>150</v>
      </c>
      <c r="AG3" s="181" t="s">
        <v>151</v>
      </c>
      <c r="AH3" s="182" t="s">
        <v>152</v>
      </c>
      <c r="AI3" s="180" t="s">
        <v>149</v>
      </c>
      <c r="AJ3" s="181" t="s">
        <v>150</v>
      </c>
      <c r="AK3" s="181" t="s">
        <v>151</v>
      </c>
      <c r="AL3" s="182" t="s">
        <v>152</v>
      </c>
      <c r="AM3" s="180" t="s">
        <v>149</v>
      </c>
      <c r="AN3" s="181" t="s">
        <v>150</v>
      </c>
      <c r="AO3" s="181" t="s">
        <v>151</v>
      </c>
      <c r="AP3" s="182" t="s">
        <v>152</v>
      </c>
      <c r="AQ3" s="181" t="s">
        <v>149</v>
      </c>
      <c r="AR3" s="181" t="s">
        <v>150</v>
      </c>
      <c r="AS3" s="181" t="s">
        <v>151</v>
      </c>
      <c r="AT3" s="181" t="s">
        <v>152</v>
      </c>
      <c r="AU3" s="180" t="s">
        <v>149</v>
      </c>
      <c r="AV3" s="181" t="s">
        <v>150</v>
      </c>
      <c r="AW3" s="181" t="s">
        <v>151</v>
      </c>
      <c r="AX3" s="181" t="s">
        <v>152</v>
      </c>
      <c r="AY3" s="180" t="s">
        <v>149</v>
      </c>
      <c r="AZ3" s="181" t="s">
        <v>150</v>
      </c>
      <c r="BA3" s="181" t="s">
        <v>151</v>
      </c>
      <c r="BB3" s="181" t="s">
        <v>152</v>
      </c>
      <c r="BC3" s="180" t="s">
        <v>149</v>
      </c>
      <c r="BD3" s="181" t="s">
        <v>150</v>
      </c>
      <c r="BE3" s="181" t="s">
        <v>151</v>
      </c>
      <c r="BF3" s="181" t="s">
        <v>152</v>
      </c>
    </row>
    <row r="4" spans="1:58" s="172" customFormat="1" ht="12.75" customHeight="1">
      <c r="A4" s="22" t="s">
        <v>154</v>
      </c>
      <c r="B4" s="22" t="s">
        <v>11</v>
      </c>
      <c r="C4" s="108"/>
      <c r="D4" s="109"/>
      <c r="E4" s="55"/>
      <c r="F4" s="109"/>
      <c r="G4" s="108"/>
      <c r="H4" s="109"/>
      <c r="I4" s="55"/>
      <c r="J4" s="110"/>
      <c r="K4" s="108"/>
      <c r="L4" s="109"/>
      <c r="M4" s="55"/>
      <c r="N4" s="110"/>
      <c r="O4" s="108"/>
      <c r="P4" s="109"/>
      <c r="Q4" s="55"/>
      <c r="R4" s="110"/>
      <c r="S4" s="108"/>
      <c r="T4" s="109"/>
      <c r="U4" s="55"/>
      <c r="V4" s="110"/>
      <c r="W4" s="108"/>
      <c r="X4" s="55"/>
      <c r="Y4" s="55"/>
      <c r="Z4" s="177"/>
      <c r="AA4" s="108"/>
      <c r="AB4" s="55"/>
      <c r="AC4" s="55"/>
      <c r="AD4" s="177"/>
      <c r="AE4" s="108"/>
      <c r="AF4" s="55"/>
      <c r="AG4" s="55"/>
      <c r="AH4" s="177"/>
      <c r="AI4" s="108"/>
      <c r="AJ4" s="55"/>
      <c r="AK4" s="55"/>
      <c r="AL4" s="177"/>
      <c r="AM4" s="108"/>
      <c r="AN4" s="55"/>
      <c r="AO4" s="55"/>
      <c r="AP4" s="177"/>
      <c r="AQ4" s="55"/>
      <c r="AR4" s="55"/>
      <c r="AS4" s="55"/>
      <c r="AT4" s="55"/>
      <c r="AU4" s="108"/>
      <c r="AV4" s="55"/>
      <c r="AW4" s="55"/>
      <c r="AX4" s="55"/>
      <c r="AY4" s="108"/>
      <c r="AZ4" s="55"/>
      <c r="BA4" s="55"/>
      <c r="BB4" s="55"/>
      <c r="BC4" s="108"/>
      <c r="BD4" s="55"/>
      <c r="BE4" s="55"/>
      <c r="BF4" s="55"/>
    </row>
    <row r="5" spans="1:58" s="428" customFormat="1" ht="11.25">
      <c r="A5" s="509" t="s">
        <v>235</v>
      </c>
      <c r="B5" s="509" t="s">
        <v>68</v>
      </c>
      <c r="C5" s="435"/>
      <c r="D5" s="436"/>
      <c r="E5" s="436"/>
      <c r="F5" s="436"/>
      <c r="G5" s="435"/>
      <c r="H5" s="436"/>
      <c r="I5" s="436"/>
      <c r="J5" s="437"/>
      <c r="K5" s="435"/>
      <c r="L5" s="436"/>
      <c r="M5" s="436"/>
      <c r="N5" s="437"/>
      <c r="O5" s="435"/>
      <c r="P5" s="436"/>
      <c r="Q5" s="436"/>
      <c r="R5" s="437"/>
      <c r="S5" s="435"/>
      <c r="T5" s="436"/>
      <c r="U5" s="436"/>
      <c r="V5" s="437"/>
      <c r="W5" s="435"/>
      <c r="X5" s="436"/>
      <c r="Y5" s="436"/>
      <c r="Z5" s="437"/>
      <c r="AA5" s="435"/>
      <c r="AB5" s="436"/>
      <c r="AC5" s="436"/>
      <c r="AD5" s="437"/>
      <c r="AE5" s="435"/>
      <c r="AF5" s="436"/>
      <c r="AG5" s="436"/>
      <c r="AH5" s="437"/>
      <c r="AI5" s="435"/>
      <c r="AJ5" s="436"/>
      <c r="AK5" s="436"/>
      <c r="AL5" s="437"/>
      <c r="AM5" s="435"/>
      <c r="AN5" s="436"/>
      <c r="AO5" s="436"/>
      <c r="AP5" s="437"/>
      <c r="AQ5" s="436"/>
      <c r="AR5" s="436"/>
      <c r="AS5" s="436"/>
      <c r="AT5" s="436"/>
      <c r="AU5" s="435"/>
      <c r="AV5" s="436"/>
      <c r="AW5" s="436"/>
      <c r="AX5" s="436"/>
      <c r="AY5" s="435"/>
      <c r="AZ5" s="436"/>
      <c r="BA5" s="436"/>
      <c r="BB5" s="436"/>
      <c r="BC5" s="435"/>
      <c r="BD5" s="436"/>
      <c r="BE5" s="436"/>
      <c r="BF5" s="436"/>
    </row>
    <row r="6" spans="1:58" s="428" customFormat="1" ht="11.25">
      <c r="A6" s="411" t="s">
        <v>626</v>
      </c>
      <c r="B6" s="411" t="s">
        <v>625</v>
      </c>
      <c r="C6" s="425">
        <v>893.8</v>
      </c>
      <c r="D6" s="337">
        <v>849.7</v>
      </c>
      <c r="E6" s="337">
        <v>1144.1999999999998</v>
      </c>
      <c r="F6" s="337">
        <v>1651</v>
      </c>
      <c r="G6" s="425">
        <v>2061.5</v>
      </c>
      <c r="H6" s="337">
        <v>2185.9</v>
      </c>
      <c r="I6" s="337">
        <v>1621.6</v>
      </c>
      <c r="J6" s="338">
        <v>4579.8</v>
      </c>
      <c r="K6" s="425">
        <v>5167.3999999999996</v>
      </c>
      <c r="L6" s="337">
        <v>3242</v>
      </c>
      <c r="M6" s="337">
        <v>1953.3</v>
      </c>
      <c r="N6" s="338">
        <v>1566.7</v>
      </c>
      <c r="O6" s="425">
        <v>1408.3</v>
      </c>
      <c r="P6" s="337">
        <v>1755.7</v>
      </c>
      <c r="Q6" s="337">
        <v>1527.9</v>
      </c>
      <c r="R6" s="338">
        <v>1158.9000000000001</v>
      </c>
      <c r="S6" s="425">
        <v>879.1</v>
      </c>
      <c r="T6" s="337">
        <v>912.6</v>
      </c>
      <c r="U6" s="337">
        <v>1782</v>
      </c>
      <c r="V6" s="338">
        <v>1858.4</v>
      </c>
      <c r="W6" s="425">
        <v>1293.9000000000001</v>
      </c>
      <c r="X6" s="337">
        <v>1235.1000000000001</v>
      </c>
      <c r="Y6" s="337">
        <v>1524.7000000000003</v>
      </c>
      <c r="Z6" s="338">
        <v>1822.1000000000001</v>
      </c>
      <c r="AA6" s="425">
        <v>1572.1</v>
      </c>
      <c r="AB6" s="337">
        <v>1519.3</v>
      </c>
      <c r="AC6" s="337">
        <v>1329.4</v>
      </c>
      <c r="AD6" s="338">
        <v>1471.4</v>
      </c>
      <c r="AE6" s="425">
        <v>1352.3999999999999</v>
      </c>
      <c r="AF6" s="337">
        <v>1467.3999999999999</v>
      </c>
      <c r="AG6" s="337">
        <v>1998.4999999999998</v>
      </c>
      <c r="AH6" s="338">
        <v>2412.2999999999997</v>
      </c>
      <c r="AI6" s="425">
        <v>2608</v>
      </c>
      <c r="AJ6" s="337">
        <v>1949.8</v>
      </c>
      <c r="AK6" s="337">
        <v>1947.2</v>
      </c>
      <c r="AL6" s="338">
        <v>1990.9</v>
      </c>
      <c r="AM6" s="425">
        <v>1613.8</v>
      </c>
      <c r="AN6" s="337">
        <v>1320.5</v>
      </c>
      <c r="AO6" s="337">
        <v>1124.9000000000001</v>
      </c>
      <c r="AP6" s="338">
        <v>1117.0999999999999</v>
      </c>
      <c r="AQ6" s="337">
        <v>1210.5999999999999</v>
      </c>
      <c r="AR6" s="337">
        <v>1029.7</v>
      </c>
      <c r="AS6" s="337">
        <v>828.5</v>
      </c>
      <c r="AT6" s="337">
        <v>784.8</v>
      </c>
      <c r="AU6" s="425">
        <v>647.70000000000005</v>
      </c>
      <c r="AV6" s="337">
        <v>676.7</v>
      </c>
      <c r="AW6" s="337">
        <v>528.20000000000005</v>
      </c>
      <c r="AX6" s="337">
        <v>509</v>
      </c>
      <c r="AY6" s="425">
        <v>692.8</v>
      </c>
      <c r="AZ6" s="337">
        <v>554.20000000000005</v>
      </c>
      <c r="BA6" s="337">
        <v>708.2</v>
      </c>
      <c r="BB6" s="337">
        <v>554.29999999999995</v>
      </c>
      <c r="BC6" s="425">
        <v>1090.5</v>
      </c>
      <c r="BD6" s="337">
        <v>700.3</v>
      </c>
      <c r="BE6" s="337">
        <v>716.6</v>
      </c>
      <c r="BF6" s="337">
        <v>1199.8</v>
      </c>
    </row>
    <row r="7" spans="1:58" s="428" customFormat="1" ht="11.25">
      <c r="A7" s="411" t="s">
        <v>236</v>
      </c>
      <c r="B7" s="411" t="s">
        <v>69</v>
      </c>
      <c r="C7" s="425">
        <v>9032.9</v>
      </c>
      <c r="D7" s="337">
        <v>4323.5</v>
      </c>
      <c r="E7" s="337">
        <v>5318.4</v>
      </c>
      <c r="F7" s="337">
        <v>4373.2</v>
      </c>
      <c r="G7" s="425">
        <v>4973.8999999999996</v>
      </c>
      <c r="H7" s="337">
        <v>4814</v>
      </c>
      <c r="I7" s="337">
        <v>7100.1</v>
      </c>
      <c r="J7" s="338">
        <v>6115.9</v>
      </c>
      <c r="K7" s="425">
        <v>10762.5</v>
      </c>
      <c r="L7" s="337">
        <v>9937.6</v>
      </c>
      <c r="M7" s="337">
        <v>11558.9</v>
      </c>
      <c r="N7" s="338">
        <v>7531.5</v>
      </c>
      <c r="O7" s="425">
        <v>3424.4</v>
      </c>
      <c r="P7" s="337">
        <v>904.7</v>
      </c>
      <c r="Q7" s="337">
        <v>2652.4</v>
      </c>
      <c r="R7" s="338">
        <v>489.9</v>
      </c>
      <c r="S7" s="425">
        <v>362.5</v>
      </c>
      <c r="T7" s="337">
        <v>431.1</v>
      </c>
      <c r="U7" s="337">
        <v>319.5</v>
      </c>
      <c r="V7" s="338">
        <v>444.7</v>
      </c>
      <c r="W7" s="425">
        <v>853.7</v>
      </c>
      <c r="X7" s="337">
        <v>412.40000000000003</v>
      </c>
      <c r="Y7" s="337">
        <v>994</v>
      </c>
      <c r="Z7" s="338">
        <v>507.6</v>
      </c>
      <c r="AA7" s="425">
        <v>1034.7</v>
      </c>
      <c r="AB7" s="337">
        <v>1405.7</v>
      </c>
      <c r="AC7" s="337">
        <v>1056.7</v>
      </c>
      <c r="AD7" s="338">
        <v>1276.3</v>
      </c>
      <c r="AE7" s="425">
        <v>1768.5</v>
      </c>
      <c r="AF7" s="337">
        <v>2565.5</v>
      </c>
      <c r="AG7" s="337">
        <v>1073.5999999999999</v>
      </c>
      <c r="AH7" s="338">
        <v>1409.8</v>
      </c>
      <c r="AI7" s="425">
        <v>2068.3000000000002</v>
      </c>
      <c r="AJ7" s="337">
        <v>1740.5</v>
      </c>
      <c r="AK7" s="337">
        <v>2411.8000000000002</v>
      </c>
      <c r="AL7" s="338">
        <v>964.3</v>
      </c>
      <c r="AM7" s="425">
        <v>2067.6999999999998</v>
      </c>
      <c r="AN7" s="337">
        <v>1847.3</v>
      </c>
      <c r="AO7" s="337">
        <v>1617.3</v>
      </c>
      <c r="AP7" s="338">
        <v>2805.2</v>
      </c>
      <c r="AQ7" s="337">
        <v>1470.6000000000001</v>
      </c>
      <c r="AR7" s="337">
        <v>2676.6000000000004</v>
      </c>
      <c r="AS7" s="337">
        <v>1392.8</v>
      </c>
      <c r="AT7" s="337">
        <v>482.4</v>
      </c>
      <c r="AU7" s="425">
        <v>733.2</v>
      </c>
      <c r="AV7" s="337">
        <v>1313.5</v>
      </c>
      <c r="AW7" s="337">
        <v>643.20000000000005</v>
      </c>
      <c r="AX7" s="337">
        <v>790.5</v>
      </c>
      <c r="AY7" s="425">
        <v>773.9</v>
      </c>
      <c r="AZ7" s="337">
        <v>1299.8999999999999</v>
      </c>
      <c r="BA7" s="337">
        <v>330.3</v>
      </c>
      <c r="BB7" s="337">
        <v>498.40000000000003</v>
      </c>
      <c r="BC7" s="425">
        <v>228.1</v>
      </c>
      <c r="BD7" s="337">
        <v>177.70000000000002</v>
      </c>
      <c r="BE7" s="337">
        <v>310.40000000000003</v>
      </c>
      <c r="BF7" s="337">
        <v>436</v>
      </c>
    </row>
    <row r="8" spans="1:58" s="428" customFormat="1" ht="11.25">
      <c r="A8" s="411" t="s">
        <v>422</v>
      </c>
      <c r="B8" s="411" t="s">
        <v>417</v>
      </c>
      <c r="C8" s="425">
        <v>0</v>
      </c>
      <c r="D8" s="337">
        <v>0</v>
      </c>
      <c r="E8" s="337">
        <v>0</v>
      </c>
      <c r="F8" s="337">
        <v>0</v>
      </c>
      <c r="G8" s="425">
        <v>0</v>
      </c>
      <c r="H8" s="337">
        <v>0</v>
      </c>
      <c r="I8" s="337">
        <v>0</v>
      </c>
      <c r="J8" s="338">
        <v>0</v>
      </c>
      <c r="K8" s="425">
        <v>0</v>
      </c>
      <c r="L8" s="337">
        <v>0</v>
      </c>
      <c r="M8" s="337">
        <v>0</v>
      </c>
      <c r="N8" s="338">
        <v>0</v>
      </c>
      <c r="O8" s="425">
        <v>0</v>
      </c>
      <c r="P8" s="337">
        <v>0</v>
      </c>
      <c r="Q8" s="337">
        <v>0</v>
      </c>
      <c r="R8" s="338">
        <v>0</v>
      </c>
      <c r="S8" s="425">
        <v>0</v>
      </c>
      <c r="T8" s="337">
        <v>0</v>
      </c>
      <c r="U8" s="337">
        <v>0</v>
      </c>
      <c r="V8" s="338">
        <v>0</v>
      </c>
      <c r="W8" s="425">
        <v>0</v>
      </c>
      <c r="X8" s="337">
        <v>0</v>
      </c>
      <c r="Y8" s="337">
        <v>0</v>
      </c>
      <c r="Z8" s="338">
        <v>0</v>
      </c>
      <c r="AA8" s="425">
        <v>0</v>
      </c>
      <c r="AB8" s="337">
        <v>651.70000000000005</v>
      </c>
      <c r="AC8" s="337">
        <v>547</v>
      </c>
      <c r="AD8" s="338">
        <v>675.1</v>
      </c>
      <c r="AE8" s="425">
        <v>931.8</v>
      </c>
      <c r="AF8" s="337">
        <v>338.2</v>
      </c>
      <c r="AG8" s="337">
        <v>381.8</v>
      </c>
      <c r="AH8" s="338">
        <v>447</v>
      </c>
      <c r="AI8" s="425">
        <v>577.4</v>
      </c>
      <c r="AJ8" s="337">
        <v>15.1</v>
      </c>
      <c r="AK8" s="337">
        <v>357.4</v>
      </c>
      <c r="AL8" s="338">
        <v>162.79999999999998</v>
      </c>
      <c r="AM8" s="425">
        <v>0</v>
      </c>
      <c r="AN8" s="337">
        <v>0</v>
      </c>
      <c r="AO8" s="337">
        <v>0</v>
      </c>
      <c r="AP8" s="338">
        <v>21.6</v>
      </c>
      <c r="AQ8" s="337">
        <v>34.6</v>
      </c>
      <c r="AR8" s="337">
        <v>0</v>
      </c>
      <c r="AS8" s="337">
        <v>22.4</v>
      </c>
      <c r="AT8" s="337">
        <v>236.5</v>
      </c>
      <c r="AU8" s="425">
        <v>121.5</v>
      </c>
      <c r="AV8" s="337">
        <v>327.7</v>
      </c>
      <c r="AW8" s="337">
        <v>385.4</v>
      </c>
      <c r="AX8" s="337">
        <v>635.4</v>
      </c>
      <c r="AY8" s="425">
        <v>767.6</v>
      </c>
      <c r="AZ8" s="337">
        <v>942.9</v>
      </c>
      <c r="BA8" s="337">
        <v>205.2</v>
      </c>
      <c r="BB8" s="337">
        <v>171.5</v>
      </c>
      <c r="BC8" s="425">
        <v>44.3</v>
      </c>
      <c r="BD8" s="337">
        <v>0</v>
      </c>
      <c r="BE8" s="337">
        <v>12.3</v>
      </c>
      <c r="BF8" s="337">
        <v>274.89999999999998</v>
      </c>
    </row>
    <row r="9" spans="1:58" s="428" customFormat="1" ht="11.25">
      <c r="A9" s="411" t="s">
        <v>237</v>
      </c>
      <c r="B9" s="411" t="s">
        <v>70</v>
      </c>
      <c r="C9" s="425">
        <v>11.2</v>
      </c>
      <c r="D9" s="337">
        <v>2.1</v>
      </c>
      <c r="E9" s="337">
        <v>0.7</v>
      </c>
      <c r="F9" s="337">
        <v>38.5</v>
      </c>
      <c r="G9" s="425">
        <v>23.1</v>
      </c>
      <c r="H9" s="337">
        <v>2.1</v>
      </c>
      <c r="I9" s="337">
        <v>4.9000000000000004</v>
      </c>
      <c r="J9" s="338">
        <v>1</v>
      </c>
      <c r="K9" s="425">
        <v>12.1</v>
      </c>
      <c r="L9" s="337">
        <v>1.1000000000000001</v>
      </c>
      <c r="M9" s="337">
        <v>1.9</v>
      </c>
      <c r="N9" s="338">
        <v>2.1</v>
      </c>
      <c r="O9" s="425">
        <v>21.2</v>
      </c>
      <c r="P9" s="337">
        <v>7.3</v>
      </c>
      <c r="Q9" s="337">
        <v>15.1</v>
      </c>
      <c r="R9" s="338">
        <v>22.9</v>
      </c>
      <c r="S9" s="425">
        <v>25.2</v>
      </c>
      <c r="T9" s="337">
        <v>5</v>
      </c>
      <c r="U9" s="337">
        <v>7.8</v>
      </c>
      <c r="V9" s="338">
        <v>0</v>
      </c>
      <c r="W9" s="425">
        <v>0</v>
      </c>
      <c r="X9" s="337">
        <v>0</v>
      </c>
      <c r="Y9" s="337">
        <v>0</v>
      </c>
      <c r="Z9" s="338">
        <v>0</v>
      </c>
      <c r="AA9" s="425">
        <v>0</v>
      </c>
      <c r="AB9" s="337">
        <v>0</v>
      </c>
      <c r="AC9" s="337">
        <v>0</v>
      </c>
      <c r="AD9" s="338">
        <v>0</v>
      </c>
      <c r="AE9" s="425">
        <v>0</v>
      </c>
      <c r="AF9" s="337">
        <v>0</v>
      </c>
      <c r="AG9" s="337">
        <v>0</v>
      </c>
      <c r="AH9" s="338">
        <v>0</v>
      </c>
      <c r="AI9" s="425">
        <v>0</v>
      </c>
      <c r="AJ9" s="337">
        <v>0</v>
      </c>
      <c r="AK9" s="337">
        <v>0</v>
      </c>
      <c r="AL9" s="338">
        <v>0</v>
      </c>
      <c r="AM9" s="425">
        <v>0</v>
      </c>
      <c r="AN9" s="337">
        <v>0</v>
      </c>
      <c r="AO9" s="337">
        <v>0</v>
      </c>
      <c r="AP9" s="338">
        <v>0</v>
      </c>
      <c r="AQ9" s="337">
        <v>0</v>
      </c>
      <c r="AR9" s="337">
        <v>0</v>
      </c>
      <c r="AS9" s="337">
        <v>0</v>
      </c>
      <c r="AT9" s="337">
        <v>0</v>
      </c>
      <c r="AU9" s="407" t="s">
        <v>332</v>
      </c>
      <c r="AV9" s="408" t="s">
        <v>332</v>
      </c>
      <c r="AW9" s="408" t="s">
        <v>332</v>
      </c>
      <c r="AX9" s="504" t="s">
        <v>332</v>
      </c>
      <c r="AY9" s="407" t="s">
        <v>332</v>
      </c>
      <c r="AZ9" s="408" t="s">
        <v>332</v>
      </c>
      <c r="BA9" s="408" t="s">
        <v>332</v>
      </c>
      <c r="BB9" s="504" t="s">
        <v>332</v>
      </c>
      <c r="BC9" s="407" t="s">
        <v>332</v>
      </c>
      <c r="BD9" s="408" t="s">
        <v>332</v>
      </c>
      <c r="BE9" s="408" t="s">
        <v>332</v>
      </c>
      <c r="BF9" s="504" t="s">
        <v>332</v>
      </c>
    </row>
    <row r="10" spans="1:58" s="428" customFormat="1" ht="22.5">
      <c r="A10" s="411" t="s">
        <v>627</v>
      </c>
      <c r="B10" s="411" t="s">
        <v>628</v>
      </c>
      <c r="C10" s="425">
        <v>1177</v>
      </c>
      <c r="D10" s="337">
        <v>1822.6999999999998</v>
      </c>
      <c r="E10" s="337">
        <v>1780.6</v>
      </c>
      <c r="F10" s="337">
        <v>1844.8000000000002</v>
      </c>
      <c r="G10" s="425">
        <v>4180.2</v>
      </c>
      <c r="H10" s="337">
        <v>4158.1000000000004</v>
      </c>
      <c r="I10" s="337">
        <v>4091.3</v>
      </c>
      <c r="J10" s="338">
        <v>4431.8999999999996</v>
      </c>
      <c r="K10" s="425">
        <v>1202.8</v>
      </c>
      <c r="L10" s="337">
        <v>883.4</v>
      </c>
      <c r="M10" s="337">
        <v>616.90000000000009</v>
      </c>
      <c r="N10" s="338">
        <v>734.1</v>
      </c>
      <c r="O10" s="425">
        <v>312.8</v>
      </c>
      <c r="P10" s="337">
        <v>539.5</v>
      </c>
      <c r="Q10" s="337">
        <v>1278.2</v>
      </c>
      <c r="R10" s="338">
        <v>146.80000000000001</v>
      </c>
      <c r="S10" s="425">
        <v>189.2</v>
      </c>
      <c r="T10" s="337">
        <v>136.4</v>
      </c>
      <c r="U10" s="337">
        <v>793.2</v>
      </c>
      <c r="V10" s="338">
        <v>194.9</v>
      </c>
      <c r="W10" s="425">
        <v>572</v>
      </c>
      <c r="X10" s="337">
        <v>379.1</v>
      </c>
      <c r="Y10" s="337">
        <v>528.6</v>
      </c>
      <c r="Z10" s="338">
        <v>1047</v>
      </c>
      <c r="AA10" s="425">
        <v>377.4</v>
      </c>
      <c r="AB10" s="408" t="s">
        <v>332</v>
      </c>
      <c r="AC10" s="408" t="s">
        <v>332</v>
      </c>
      <c r="AD10" s="504" t="s">
        <v>332</v>
      </c>
      <c r="AE10" s="407" t="s">
        <v>332</v>
      </c>
      <c r="AF10" s="408" t="s">
        <v>332</v>
      </c>
      <c r="AG10" s="408" t="s">
        <v>332</v>
      </c>
      <c r="AH10" s="504" t="s">
        <v>332</v>
      </c>
      <c r="AI10" s="407" t="s">
        <v>332</v>
      </c>
      <c r="AJ10" s="408" t="s">
        <v>332</v>
      </c>
      <c r="AK10" s="408" t="s">
        <v>332</v>
      </c>
      <c r="AL10" s="504" t="s">
        <v>332</v>
      </c>
      <c r="AM10" s="407" t="s">
        <v>332</v>
      </c>
      <c r="AN10" s="408" t="s">
        <v>332</v>
      </c>
      <c r="AO10" s="408" t="s">
        <v>332</v>
      </c>
      <c r="AP10" s="504" t="s">
        <v>332</v>
      </c>
      <c r="AQ10" s="407" t="s">
        <v>332</v>
      </c>
      <c r="AR10" s="408" t="s">
        <v>332</v>
      </c>
      <c r="AS10" s="408" t="s">
        <v>332</v>
      </c>
      <c r="AT10" s="504" t="s">
        <v>332</v>
      </c>
      <c r="AU10" s="407" t="s">
        <v>332</v>
      </c>
      <c r="AV10" s="408" t="s">
        <v>332</v>
      </c>
      <c r="AW10" s="408" t="s">
        <v>332</v>
      </c>
      <c r="AX10" s="504" t="s">
        <v>332</v>
      </c>
      <c r="AY10" s="407" t="s">
        <v>332</v>
      </c>
      <c r="AZ10" s="408" t="s">
        <v>332</v>
      </c>
      <c r="BA10" s="408" t="s">
        <v>332</v>
      </c>
      <c r="BB10" s="504" t="s">
        <v>332</v>
      </c>
      <c r="BC10" s="407" t="s">
        <v>332</v>
      </c>
      <c r="BD10" s="408" t="s">
        <v>332</v>
      </c>
      <c r="BE10" s="408" t="s">
        <v>332</v>
      </c>
      <c r="BF10" s="504" t="s">
        <v>332</v>
      </c>
    </row>
    <row r="11" spans="1:58" s="473" customFormat="1" ht="11.25" outlineLevel="1">
      <c r="A11" s="575" t="s">
        <v>236</v>
      </c>
      <c r="B11" s="575" t="s">
        <v>69</v>
      </c>
      <c r="C11" s="452">
        <v>690.3</v>
      </c>
      <c r="D11" s="453">
        <v>1035.8</v>
      </c>
      <c r="E11" s="453">
        <v>1514.7</v>
      </c>
      <c r="F11" s="453">
        <v>1513.2</v>
      </c>
      <c r="G11" s="452">
        <v>1587.6</v>
      </c>
      <c r="H11" s="453">
        <v>1432.4</v>
      </c>
      <c r="I11" s="453">
        <v>1576.6</v>
      </c>
      <c r="J11" s="454">
        <v>1822.7</v>
      </c>
      <c r="K11" s="452">
        <v>205.2</v>
      </c>
      <c r="L11" s="453">
        <v>203.6</v>
      </c>
      <c r="M11" s="453">
        <v>199.8</v>
      </c>
      <c r="N11" s="454">
        <v>186.5</v>
      </c>
      <c r="O11" s="452">
        <v>185.5</v>
      </c>
      <c r="P11" s="453">
        <v>191.8</v>
      </c>
      <c r="Q11" s="453">
        <v>188.3</v>
      </c>
      <c r="R11" s="454">
        <v>61.2</v>
      </c>
      <c r="S11" s="452">
        <v>62.6</v>
      </c>
      <c r="T11" s="453">
        <v>62.5</v>
      </c>
      <c r="U11" s="453">
        <v>0</v>
      </c>
      <c r="V11" s="454">
        <v>0</v>
      </c>
      <c r="W11" s="452">
        <v>414.5</v>
      </c>
      <c r="X11" s="453">
        <v>0</v>
      </c>
      <c r="Y11" s="453">
        <v>0</v>
      </c>
      <c r="Z11" s="454">
        <v>0</v>
      </c>
      <c r="AA11" s="452">
        <v>0</v>
      </c>
      <c r="AB11" s="576" t="s">
        <v>332</v>
      </c>
      <c r="AC11" s="576" t="s">
        <v>332</v>
      </c>
      <c r="AD11" s="577" t="s">
        <v>332</v>
      </c>
      <c r="AE11" s="578" t="s">
        <v>332</v>
      </c>
      <c r="AF11" s="576" t="s">
        <v>332</v>
      </c>
      <c r="AG11" s="576" t="s">
        <v>332</v>
      </c>
      <c r="AH11" s="577" t="s">
        <v>332</v>
      </c>
      <c r="AI11" s="578" t="s">
        <v>332</v>
      </c>
      <c r="AJ11" s="576" t="s">
        <v>332</v>
      </c>
      <c r="AK11" s="576" t="s">
        <v>332</v>
      </c>
      <c r="AL11" s="577" t="s">
        <v>332</v>
      </c>
      <c r="AM11" s="578" t="s">
        <v>332</v>
      </c>
      <c r="AN11" s="576" t="s">
        <v>332</v>
      </c>
      <c r="AO11" s="576" t="s">
        <v>332</v>
      </c>
      <c r="AP11" s="577" t="s">
        <v>332</v>
      </c>
      <c r="AQ11" s="578" t="s">
        <v>332</v>
      </c>
      <c r="AR11" s="576" t="s">
        <v>332</v>
      </c>
      <c r="AS11" s="576" t="s">
        <v>332</v>
      </c>
      <c r="AT11" s="577" t="s">
        <v>332</v>
      </c>
      <c r="AU11" s="578" t="s">
        <v>332</v>
      </c>
      <c r="AV11" s="576" t="s">
        <v>332</v>
      </c>
      <c r="AW11" s="576" t="s">
        <v>332</v>
      </c>
      <c r="AX11" s="577" t="s">
        <v>332</v>
      </c>
      <c r="AY11" s="578" t="s">
        <v>332</v>
      </c>
      <c r="AZ11" s="576" t="s">
        <v>332</v>
      </c>
      <c r="BA11" s="576" t="s">
        <v>332</v>
      </c>
      <c r="BB11" s="577" t="s">
        <v>332</v>
      </c>
      <c r="BC11" s="578" t="s">
        <v>332</v>
      </c>
      <c r="BD11" s="576" t="s">
        <v>332</v>
      </c>
      <c r="BE11" s="576" t="s">
        <v>332</v>
      </c>
      <c r="BF11" s="577" t="s">
        <v>332</v>
      </c>
    </row>
    <row r="12" spans="1:58" s="473" customFormat="1" ht="11.25" outlineLevel="1">
      <c r="A12" s="579" t="s">
        <v>238</v>
      </c>
      <c r="B12" s="579" t="s">
        <v>71</v>
      </c>
      <c r="C12" s="452">
        <v>486.7</v>
      </c>
      <c r="D12" s="453">
        <v>786.9</v>
      </c>
      <c r="E12" s="453">
        <v>265.89999999999998</v>
      </c>
      <c r="F12" s="453">
        <v>331.6</v>
      </c>
      <c r="G12" s="452">
        <v>358.3</v>
      </c>
      <c r="H12" s="453">
        <v>255</v>
      </c>
      <c r="I12" s="453">
        <v>369.7</v>
      </c>
      <c r="J12" s="454">
        <v>362.5</v>
      </c>
      <c r="K12" s="452">
        <v>997.6</v>
      </c>
      <c r="L12" s="453">
        <v>679.8</v>
      </c>
      <c r="M12" s="453">
        <v>417.1</v>
      </c>
      <c r="N12" s="454">
        <v>547.6</v>
      </c>
      <c r="O12" s="452">
        <v>127.3</v>
      </c>
      <c r="P12" s="453">
        <v>347.7</v>
      </c>
      <c r="Q12" s="453">
        <v>1089.9000000000001</v>
      </c>
      <c r="R12" s="454">
        <v>85.6</v>
      </c>
      <c r="S12" s="452">
        <v>126.6</v>
      </c>
      <c r="T12" s="453">
        <v>73.900000000000006</v>
      </c>
      <c r="U12" s="453">
        <v>793.2</v>
      </c>
      <c r="V12" s="454">
        <v>194.9</v>
      </c>
      <c r="W12" s="452">
        <v>157.5</v>
      </c>
      <c r="X12" s="453">
        <v>379.1</v>
      </c>
      <c r="Y12" s="453">
        <v>528.6</v>
      </c>
      <c r="Z12" s="454">
        <v>1047</v>
      </c>
      <c r="AA12" s="452">
        <v>377.4</v>
      </c>
      <c r="AB12" s="576" t="s">
        <v>332</v>
      </c>
      <c r="AC12" s="576" t="s">
        <v>332</v>
      </c>
      <c r="AD12" s="577" t="s">
        <v>332</v>
      </c>
      <c r="AE12" s="578" t="s">
        <v>332</v>
      </c>
      <c r="AF12" s="576" t="s">
        <v>332</v>
      </c>
      <c r="AG12" s="576" t="s">
        <v>332</v>
      </c>
      <c r="AH12" s="577" t="s">
        <v>332</v>
      </c>
      <c r="AI12" s="578" t="s">
        <v>332</v>
      </c>
      <c r="AJ12" s="576" t="s">
        <v>332</v>
      </c>
      <c r="AK12" s="576" t="s">
        <v>332</v>
      </c>
      <c r="AL12" s="577" t="s">
        <v>332</v>
      </c>
      <c r="AM12" s="578" t="s">
        <v>332</v>
      </c>
      <c r="AN12" s="576" t="s">
        <v>332</v>
      </c>
      <c r="AO12" s="576" t="s">
        <v>332</v>
      </c>
      <c r="AP12" s="577" t="s">
        <v>332</v>
      </c>
      <c r="AQ12" s="578" t="s">
        <v>332</v>
      </c>
      <c r="AR12" s="576" t="s">
        <v>332</v>
      </c>
      <c r="AS12" s="576" t="s">
        <v>332</v>
      </c>
      <c r="AT12" s="577" t="s">
        <v>332</v>
      </c>
      <c r="AU12" s="578" t="s">
        <v>332</v>
      </c>
      <c r="AV12" s="576" t="s">
        <v>332</v>
      </c>
      <c r="AW12" s="576" t="s">
        <v>332</v>
      </c>
      <c r="AX12" s="577" t="s">
        <v>332</v>
      </c>
      <c r="AY12" s="578" t="s">
        <v>332</v>
      </c>
      <c r="AZ12" s="576" t="s">
        <v>332</v>
      </c>
      <c r="BA12" s="576" t="s">
        <v>332</v>
      </c>
      <c r="BB12" s="577" t="s">
        <v>332</v>
      </c>
      <c r="BC12" s="578" t="s">
        <v>332</v>
      </c>
      <c r="BD12" s="576" t="s">
        <v>332</v>
      </c>
      <c r="BE12" s="576" t="s">
        <v>332</v>
      </c>
      <c r="BF12" s="577" t="s">
        <v>332</v>
      </c>
    </row>
    <row r="13" spans="1:58" s="473" customFormat="1" ht="11.25" outlineLevel="1">
      <c r="A13" s="579" t="s">
        <v>382</v>
      </c>
      <c r="B13" s="579" t="s">
        <v>350</v>
      </c>
      <c r="C13" s="452">
        <v>0</v>
      </c>
      <c r="D13" s="453">
        <v>0</v>
      </c>
      <c r="E13" s="453">
        <v>0</v>
      </c>
      <c r="F13" s="453">
        <v>0</v>
      </c>
      <c r="G13" s="452">
        <v>2234.3000000000002</v>
      </c>
      <c r="H13" s="453">
        <v>2470.6999999999998</v>
      </c>
      <c r="I13" s="453">
        <v>2145</v>
      </c>
      <c r="J13" s="454">
        <v>2246.6999999999998</v>
      </c>
      <c r="K13" s="452">
        <v>0</v>
      </c>
      <c r="L13" s="453">
        <v>0</v>
      </c>
      <c r="M13" s="453">
        <v>0</v>
      </c>
      <c r="N13" s="454">
        <v>0</v>
      </c>
      <c r="O13" s="452">
        <v>0</v>
      </c>
      <c r="P13" s="453">
        <v>0</v>
      </c>
      <c r="Q13" s="453">
        <v>0</v>
      </c>
      <c r="R13" s="454">
        <v>0</v>
      </c>
      <c r="S13" s="452">
        <v>0</v>
      </c>
      <c r="T13" s="453">
        <v>0</v>
      </c>
      <c r="U13" s="453">
        <v>0</v>
      </c>
      <c r="V13" s="454">
        <v>0</v>
      </c>
      <c r="W13" s="452">
        <v>0</v>
      </c>
      <c r="X13" s="453">
        <v>0</v>
      </c>
      <c r="Y13" s="453">
        <v>0</v>
      </c>
      <c r="Z13" s="454">
        <v>0</v>
      </c>
      <c r="AA13" s="452">
        <v>0</v>
      </c>
      <c r="AB13" s="576" t="s">
        <v>332</v>
      </c>
      <c r="AC13" s="576" t="s">
        <v>332</v>
      </c>
      <c r="AD13" s="577" t="s">
        <v>332</v>
      </c>
      <c r="AE13" s="578" t="s">
        <v>332</v>
      </c>
      <c r="AF13" s="576" t="s">
        <v>332</v>
      </c>
      <c r="AG13" s="576" t="s">
        <v>332</v>
      </c>
      <c r="AH13" s="577" t="s">
        <v>332</v>
      </c>
      <c r="AI13" s="578" t="s">
        <v>332</v>
      </c>
      <c r="AJ13" s="576" t="s">
        <v>332</v>
      </c>
      <c r="AK13" s="576" t="s">
        <v>332</v>
      </c>
      <c r="AL13" s="577" t="s">
        <v>332</v>
      </c>
      <c r="AM13" s="578" t="s">
        <v>332</v>
      </c>
      <c r="AN13" s="576" t="s">
        <v>332</v>
      </c>
      <c r="AO13" s="576" t="s">
        <v>332</v>
      </c>
      <c r="AP13" s="577" t="s">
        <v>332</v>
      </c>
      <c r="AQ13" s="578" t="s">
        <v>332</v>
      </c>
      <c r="AR13" s="576" t="s">
        <v>332</v>
      </c>
      <c r="AS13" s="576" t="s">
        <v>332</v>
      </c>
      <c r="AT13" s="577" t="s">
        <v>332</v>
      </c>
      <c r="AU13" s="578" t="s">
        <v>332</v>
      </c>
      <c r="AV13" s="576" t="s">
        <v>332</v>
      </c>
      <c r="AW13" s="576" t="s">
        <v>332</v>
      </c>
      <c r="AX13" s="577" t="s">
        <v>332</v>
      </c>
      <c r="AY13" s="578" t="s">
        <v>332</v>
      </c>
      <c r="AZ13" s="576" t="s">
        <v>332</v>
      </c>
      <c r="BA13" s="576" t="s">
        <v>332</v>
      </c>
      <c r="BB13" s="577" t="s">
        <v>332</v>
      </c>
      <c r="BC13" s="578" t="s">
        <v>332</v>
      </c>
      <c r="BD13" s="576" t="s">
        <v>332</v>
      </c>
      <c r="BE13" s="576" t="s">
        <v>332</v>
      </c>
      <c r="BF13" s="577" t="s">
        <v>332</v>
      </c>
    </row>
    <row r="14" spans="1:58" s="428" customFormat="1" ht="33.75">
      <c r="A14" s="411" t="s">
        <v>913</v>
      </c>
      <c r="B14" s="411" t="s">
        <v>914</v>
      </c>
      <c r="C14" s="425"/>
      <c r="D14" s="337"/>
      <c r="E14" s="337"/>
      <c r="F14" s="337"/>
      <c r="G14" s="425"/>
      <c r="H14" s="337"/>
      <c r="I14" s="337"/>
      <c r="J14" s="338"/>
      <c r="K14" s="425"/>
      <c r="L14" s="337"/>
      <c r="M14" s="337"/>
      <c r="N14" s="338"/>
      <c r="O14" s="425"/>
      <c r="P14" s="337"/>
      <c r="Q14" s="337"/>
      <c r="R14" s="338"/>
      <c r="S14" s="425"/>
      <c r="T14" s="337"/>
      <c r="U14" s="337"/>
      <c r="V14" s="338"/>
      <c r="W14" s="425"/>
      <c r="X14" s="337"/>
      <c r="Y14" s="337"/>
      <c r="Z14" s="338"/>
      <c r="AA14" s="425"/>
      <c r="AB14" s="337"/>
      <c r="AC14" s="337"/>
      <c r="AD14" s="338"/>
      <c r="AE14" s="425"/>
      <c r="AF14" s="337"/>
      <c r="AG14" s="337"/>
      <c r="AH14" s="338"/>
      <c r="AI14" s="425"/>
      <c r="AJ14" s="337"/>
      <c r="AK14" s="337"/>
      <c r="AL14" s="338"/>
      <c r="AM14" s="425"/>
      <c r="AN14" s="337"/>
      <c r="AO14" s="337"/>
      <c r="AP14" s="338"/>
      <c r="AQ14" s="337"/>
      <c r="AR14" s="337"/>
      <c r="AS14" s="337"/>
      <c r="AT14" s="337"/>
      <c r="AU14" s="425"/>
      <c r="AV14" s="337"/>
      <c r="AW14" s="337"/>
      <c r="AX14" s="337"/>
      <c r="AY14" s="425"/>
      <c r="AZ14" s="337"/>
      <c r="BA14" s="337"/>
      <c r="BB14" s="337"/>
      <c r="BC14" s="425"/>
      <c r="BD14" s="337"/>
      <c r="BE14" s="337"/>
      <c r="BF14" s="337"/>
    </row>
    <row r="15" spans="1:58" s="428" customFormat="1" ht="22.5">
      <c r="A15" s="575" t="s">
        <v>912</v>
      </c>
      <c r="B15" s="575" t="s">
        <v>911</v>
      </c>
      <c r="C15" s="425"/>
      <c r="D15" s="337"/>
      <c r="E15" s="337"/>
      <c r="F15" s="337"/>
      <c r="G15" s="425"/>
      <c r="H15" s="337"/>
      <c r="I15" s="337"/>
      <c r="J15" s="338"/>
      <c r="K15" s="425"/>
      <c r="L15" s="337"/>
      <c r="M15" s="337"/>
      <c r="N15" s="338"/>
      <c r="O15" s="425"/>
      <c r="P15" s="337"/>
      <c r="Q15" s="337"/>
      <c r="R15" s="338"/>
      <c r="S15" s="425"/>
      <c r="T15" s="337"/>
      <c r="U15" s="337"/>
      <c r="V15" s="338"/>
      <c r="W15" s="425"/>
      <c r="X15" s="337"/>
      <c r="Y15" s="337"/>
      <c r="Z15" s="338"/>
      <c r="AA15" s="425"/>
      <c r="AB15" s="337"/>
      <c r="AC15" s="337"/>
      <c r="AD15" s="338"/>
      <c r="AE15" s="425"/>
      <c r="AF15" s="337"/>
      <c r="AG15" s="337"/>
      <c r="AH15" s="338"/>
      <c r="AI15" s="425"/>
      <c r="AJ15" s="337"/>
      <c r="AK15" s="337"/>
      <c r="AL15" s="338"/>
      <c r="AM15" s="425"/>
      <c r="AN15" s="337"/>
      <c r="AO15" s="337"/>
      <c r="AP15" s="338"/>
      <c r="AQ15" s="337"/>
      <c r="AR15" s="337"/>
      <c r="AS15" s="337"/>
      <c r="AT15" s="337"/>
      <c r="AU15" s="425">
        <v>262.3</v>
      </c>
      <c r="AV15" s="337">
        <v>249</v>
      </c>
      <c r="AW15" s="337">
        <v>237.8</v>
      </c>
      <c r="AX15" s="337">
        <v>218.4</v>
      </c>
      <c r="AY15" s="425">
        <v>206.1</v>
      </c>
      <c r="AZ15" s="337">
        <v>193.4</v>
      </c>
      <c r="BA15" s="337">
        <v>177.9</v>
      </c>
      <c r="BB15" s="337">
        <v>160.30000000000001</v>
      </c>
      <c r="BC15" s="425">
        <v>148.69999999999999</v>
      </c>
      <c r="BD15" s="337">
        <v>233.4</v>
      </c>
      <c r="BE15" s="337">
        <v>219.8</v>
      </c>
      <c r="BF15" s="337">
        <v>106.2</v>
      </c>
    </row>
    <row r="16" spans="1:58" s="428" customFormat="1" ht="11.25">
      <c r="A16" s="575" t="s">
        <v>237</v>
      </c>
      <c r="B16" s="575" t="s">
        <v>70</v>
      </c>
      <c r="C16" s="425"/>
      <c r="D16" s="337"/>
      <c r="E16" s="337"/>
      <c r="F16" s="337"/>
      <c r="G16" s="425"/>
      <c r="H16" s="337"/>
      <c r="I16" s="337"/>
      <c r="J16" s="338"/>
      <c r="K16" s="425"/>
      <c r="L16" s="337"/>
      <c r="M16" s="337"/>
      <c r="N16" s="338"/>
      <c r="O16" s="425"/>
      <c r="P16" s="337"/>
      <c r="Q16" s="337"/>
      <c r="R16" s="338"/>
      <c r="S16" s="425"/>
      <c r="T16" s="337"/>
      <c r="U16" s="337"/>
      <c r="V16" s="338"/>
      <c r="W16" s="425"/>
      <c r="X16" s="337"/>
      <c r="Y16" s="337"/>
      <c r="Z16" s="338"/>
      <c r="AA16" s="425"/>
      <c r="AB16" s="337"/>
      <c r="AC16" s="337"/>
      <c r="AD16" s="338"/>
      <c r="AE16" s="425"/>
      <c r="AF16" s="337"/>
      <c r="AG16" s="337"/>
      <c r="AH16" s="338"/>
      <c r="AI16" s="425"/>
      <c r="AJ16" s="337"/>
      <c r="AK16" s="337"/>
      <c r="AL16" s="338"/>
      <c r="AM16" s="425"/>
      <c r="AN16" s="337"/>
      <c r="AO16" s="337"/>
      <c r="AP16" s="338"/>
      <c r="AQ16" s="337"/>
      <c r="AR16" s="337"/>
      <c r="AS16" s="337"/>
      <c r="AT16" s="337"/>
      <c r="AU16" s="425">
        <v>0</v>
      </c>
      <c r="AV16" s="337">
        <v>0</v>
      </c>
      <c r="AW16" s="337">
        <v>0</v>
      </c>
      <c r="AX16" s="337">
        <v>0.1</v>
      </c>
      <c r="AY16" s="425">
        <v>0.1</v>
      </c>
      <c r="AZ16" s="337">
        <v>0.1</v>
      </c>
      <c r="BA16" s="337">
        <v>0.1</v>
      </c>
      <c r="BB16" s="337">
        <v>0.1</v>
      </c>
      <c r="BC16" s="425">
        <v>0.1</v>
      </c>
      <c r="BD16" s="337">
        <v>0.1</v>
      </c>
      <c r="BE16" s="337">
        <v>0.1</v>
      </c>
      <c r="BF16" s="337">
        <v>0.8</v>
      </c>
    </row>
    <row r="17" spans="1:58" s="95" customFormat="1" ht="11.25" collapsed="1">
      <c r="A17" s="51" t="s">
        <v>629</v>
      </c>
      <c r="B17" s="51" t="s">
        <v>630</v>
      </c>
      <c r="C17" s="37">
        <f t="shared" ref="C17:AT17" si="0">SUM(C6:C10)</f>
        <v>11114.9</v>
      </c>
      <c r="D17" s="38">
        <f t="shared" si="0"/>
        <v>6998</v>
      </c>
      <c r="E17" s="38">
        <f t="shared" si="0"/>
        <v>8243.9</v>
      </c>
      <c r="F17" s="38">
        <f t="shared" si="0"/>
        <v>7907.5</v>
      </c>
      <c r="G17" s="37">
        <f t="shared" si="0"/>
        <v>11238.7</v>
      </c>
      <c r="H17" s="38">
        <f t="shared" si="0"/>
        <v>11160.1</v>
      </c>
      <c r="I17" s="38">
        <f t="shared" si="0"/>
        <v>12817.900000000001</v>
      </c>
      <c r="J17" s="39">
        <f t="shared" si="0"/>
        <v>15128.6</v>
      </c>
      <c r="K17" s="37">
        <f t="shared" si="0"/>
        <v>17144.8</v>
      </c>
      <c r="L17" s="38">
        <f t="shared" si="0"/>
        <v>14064.1</v>
      </c>
      <c r="M17" s="38">
        <f t="shared" si="0"/>
        <v>14130.999999999998</v>
      </c>
      <c r="N17" s="39">
        <f t="shared" si="0"/>
        <v>9834.4000000000015</v>
      </c>
      <c r="O17" s="37">
        <f t="shared" si="0"/>
        <v>5166.7</v>
      </c>
      <c r="P17" s="38">
        <f t="shared" si="0"/>
        <v>3207.2000000000003</v>
      </c>
      <c r="Q17" s="38">
        <f t="shared" si="0"/>
        <v>5473.6</v>
      </c>
      <c r="R17" s="39">
        <f t="shared" si="0"/>
        <v>1818.5000000000002</v>
      </c>
      <c r="S17" s="37">
        <f t="shared" si="0"/>
        <v>1456</v>
      </c>
      <c r="T17" s="38">
        <f t="shared" si="0"/>
        <v>1485.1000000000001</v>
      </c>
      <c r="U17" s="38">
        <f t="shared" si="0"/>
        <v>2902.5</v>
      </c>
      <c r="V17" s="39">
        <f t="shared" si="0"/>
        <v>2498</v>
      </c>
      <c r="W17" s="37">
        <f t="shared" si="0"/>
        <v>2719.6000000000004</v>
      </c>
      <c r="X17" s="38">
        <f t="shared" si="0"/>
        <v>2026.6000000000004</v>
      </c>
      <c r="Y17" s="38">
        <f t="shared" si="0"/>
        <v>3047.3</v>
      </c>
      <c r="Z17" s="39">
        <f t="shared" si="0"/>
        <v>3376.7000000000003</v>
      </c>
      <c r="AA17" s="37">
        <f t="shared" si="0"/>
        <v>2984.2000000000003</v>
      </c>
      <c r="AB17" s="38">
        <f t="shared" si="0"/>
        <v>3576.7</v>
      </c>
      <c r="AC17" s="38">
        <f t="shared" si="0"/>
        <v>2933.1000000000004</v>
      </c>
      <c r="AD17" s="39">
        <f t="shared" si="0"/>
        <v>3422.7999999999997</v>
      </c>
      <c r="AE17" s="37">
        <f t="shared" si="0"/>
        <v>4052.7</v>
      </c>
      <c r="AF17" s="38">
        <f t="shared" si="0"/>
        <v>4371.0999999999995</v>
      </c>
      <c r="AG17" s="38">
        <f t="shared" si="0"/>
        <v>3453.8999999999996</v>
      </c>
      <c r="AH17" s="39">
        <f t="shared" si="0"/>
        <v>4269.0999999999995</v>
      </c>
      <c r="AI17" s="37">
        <f t="shared" si="0"/>
        <v>5253.7</v>
      </c>
      <c r="AJ17" s="38">
        <f t="shared" si="0"/>
        <v>3705.4</v>
      </c>
      <c r="AK17" s="38">
        <f t="shared" si="0"/>
        <v>4716.3999999999996</v>
      </c>
      <c r="AL17" s="39">
        <f t="shared" si="0"/>
        <v>3118</v>
      </c>
      <c r="AM17" s="37">
        <f t="shared" si="0"/>
        <v>3681.5</v>
      </c>
      <c r="AN17" s="38">
        <f t="shared" si="0"/>
        <v>3167.8</v>
      </c>
      <c r="AO17" s="38">
        <f t="shared" si="0"/>
        <v>2742.2</v>
      </c>
      <c r="AP17" s="39">
        <f t="shared" si="0"/>
        <v>3943.8999999999996</v>
      </c>
      <c r="AQ17" s="38">
        <f t="shared" si="0"/>
        <v>2715.7999999999997</v>
      </c>
      <c r="AR17" s="38">
        <f t="shared" si="0"/>
        <v>3706.3</v>
      </c>
      <c r="AS17" s="38">
        <f t="shared" si="0"/>
        <v>2243.7000000000003</v>
      </c>
      <c r="AT17" s="38">
        <f t="shared" si="0"/>
        <v>1503.6999999999998</v>
      </c>
      <c r="AU17" s="37">
        <f t="shared" ref="AU17:BF17" si="1">+AU6+AU7+AU8+AU15+AU16</f>
        <v>1764.7</v>
      </c>
      <c r="AV17" s="38">
        <f t="shared" si="1"/>
        <v>2566.9</v>
      </c>
      <c r="AW17" s="38">
        <f t="shared" si="1"/>
        <v>1794.6000000000001</v>
      </c>
      <c r="AX17" s="38">
        <f t="shared" si="1"/>
        <v>2153.4</v>
      </c>
      <c r="AY17" s="37">
        <f t="shared" si="1"/>
        <v>2440.4999999999995</v>
      </c>
      <c r="AZ17" s="38">
        <f t="shared" si="1"/>
        <v>2990.5</v>
      </c>
      <c r="BA17" s="38">
        <f t="shared" si="1"/>
        <v>1421.7</v>
      </c>
      <c r="BB17" s="38">
        <f t="shared" si="1"/>
        <v>1384.6</v>
      </c>
      <c r="BC17" s="37">
        <f t="shared" si="1"/>
        <v>1511.6999999999998</v>
      </c>
      <c r="BD17" s="38">
        <f t="shared" si="1"/>
        <v>1111.5</v>
      </c>
      <c r="BE17" s="38">
        <f t="shared" si="1"/>
        <v>1259.1999999999998</v>
      </c>
      <c r="BF17" s="38">
        <f t="shared" si="1"/>
        <v>2017.6999999999998</v>
      </c>
    </row>
    <row r="18" spans="1:58" s="428" customFormat="1" ht="11.25">
      <c r="A18" s="509"/>
      <c r="B18" s="509"/>
      <c r="C18" s="425"/>
      <c r="D18" s="337"/>
      <c r="E18" s="337"/>
      <c r="F18" s="337"/>
      <c r="G18" s="425"/>
      <c r="H18" s="337"/>
      <c r="I18" s="337"/>
      <c r="J18" s="338"/>
      <c r="K18" s="425"/>
      <c r="L18" s="337"/>
      <c r="M18" s="337"/>
      <c r="N18" s="338"/>
      <c r="O18" s="425"/>
      <c r="P18" s="337"/>
      <c r="Q18" s="337"/>
      <c r="R18" s="338"/>
      <c r="S18" s="425"/>
      <c r="T18" s="337"/>
      <c r="U18" s="337"/>
      <c r="V18" s="338"/>
      <c r="W18" s="425"/>
      <c r="X18" s="337"/>
      <c r="Y18" s="337"/>
      <c r="Z18" s="338"/>
      <c r="AA18" s="425"/>
      <c r="AB18" s="337"/>
      <c r="AC18" s="337"/>
      <c r="AD18" s="338"/>
      <c r="AE18" s="425"/>
      <c r="AF18" s="337"/>
      <c r="AG18" s="337"/>
      <c r="AH18" s="338"/>
      <c r="AI18" s="425"/>
      <c r="AJ18" s="337"/>
      <c r="AK18" s="337"/>
      <c r="AL18" s="338"/>
      <c r="AM18" s="425"/>
      <c r="AN18" s="337"/>
      <c r="AO18" s="337"/>
      <c r="AP18" s="338"/>
      <c r="AQ18" s="337"/>
      <c r="AR18" s="337"/>
      <c r="AS18" s="337"/>
      <c r="AT18" s="337"/>
      <c r="AU18" s="425"/>
      <c r="AV18" s="337"/>
      <c r="AW18" s="337"/>
      <c r="AX18" s="337"/>
      <c r="AY18" s="425"/>
      <c r="AZ18" s="337"/>
      <c r="BA18" s="337"/>
      <c r="BB18" s="337"/>
      <c r="BC18" s="425"/>
      <c r="BD18" s="337"/>
      <c r="BE18" s="337"/>
      <c r="BF18" s="337"/>
    </row>
    <row r="19" spans="1:58" s="424" customFormat="1" ht="22.5">
      <c r="A19" s="509" t="s">
        <v>631</v>
      </c>
      <c r="B19" s="509" t="s">
        <v>632</v>
      </c>
      <c r="C19" s="405" t="s">
        <v>332</v>
      </c>
      <c r="D19" s="406" t="s">
        <v>332</v>
      </c>
      <c r="E19" s="406" t="s">
        <v>332</v>
      </c>
      <c r="F19" s="406" t="s">
        <v>332</v>
      </c>
      <c r="G19" s="405" t="s">
        <v>332</v>
      </c>
      <c r="H19" s="406" t="s">
        <v>332</v>
      </c>
      <c r="I19" s="406" t="s">
        <v>332</v>
      </c>
      <c r="J19" s="510" t="s">
        <v>332</v>
      </c>
      <c r="K19" s="405" t="s">
        <v>332</v>
      </c>
      <c r="L19" s="406" t="s">
        <v>332</v>
      </c>
      <c r="M19" s="406" t="s">
        <v>332</v>
      </c>
      <c r="N19" s="510" t="s">
        <v>332</v>
      </c>
      <c r="O19" s="405" t="s">
        <v>332</v>
      </c>
      <c r="P19" s="406" t="s">
        <v>332</v>
      </c>
      <c r="Q19" s="406" t="s">
        <v>332</v>
      </c>
      <c r="R19" s="510" t="s">
        <v>332</v>
      </c>
      <c r="S19" s="405" t="s">
        <v>332</v>
      </c>
      <c r="T19" s="406" t="s">
        <v>332</v>
      </c>
      <c r="U19" s="406" t="s">
        <v>332</v>
      </c>
      <c r="V19" s="510" t="s">
        <v>332</v>
      </c>
      <c r="W19" s="405" t="s">
        <v>332</v>
      </c>
      <c r="X19" s="406" t="s">
        <v>332</v>
      </c>
      <c r="Y19" s="406" t="s">
        <v>332</v>
      </c>
      <c r="Z19" s="510" t="s">
        <v>332</v>
      </c>
      <c r="AA19" s="405" t="s">
        <v>332</v>
      </c>
      <c r="AB19" s="406" t="s">
        <v>332</v>
      </c>
      <c r="AC19" s="406" t="s">
        <v>332</v>
      </c>
      <c r="AD19" s="510" t="s">
        <v>332</v>
      </c>
      <c r="AE19" s="405" t="s">
        <v>332</v>
      </c>
      <c r="AF19" s="406" t="s">
        <v>332</v>
      </c>
      <c r="AG19" s="406" t="s">
        <v>332</v>
      </c>
      <c r="AH19" s="510" t="s">
        <v>332</v>
      </c>
      <c r="AI19" s="405" t="s">
        <v>332</v>
      </c>
      <c r="AJ19" s="406" t="s">
        <v>332</v>
      </c>
      <c r="AK19" s="406" t="s">
        <v>332</v>
      </c>
      <c r="AL19" s="510" t="s">
        <v>332</v>
      </c>
      <c r="AM19" s="405" t="s">
        <v>332</v>
      </c>
      <c r="AN19" s="406" t="s">
        <v>332</v>
      </c>
      <c r="AO19" s="406" t="s">
        <v>332</v>
      </c>
      <c r="AP19" s="510" t="s">
        <v>332</v>
      </c>
      <c r="AQ19" s="406" t="s">
        <v>332</v>
      </c>
      <c r="AR19" s="406" t="s">
        <v>332</v>
      </c>
      <c r="AS19" s="406" t="s">
        <v>332</v>
      </c>
      <c r="AT19" s="406" t="s">
        <v>332</v>
      </c>
      <c r="AU19" s="435">
        <f t="shared" ref="AU19:AZ19" si="2">AU20+AU21</f>
        <v>17011.200000000004</v>
      </c>
      <c r="AV19" s="436">
        <f t="shared" si="2"/>
        <v>16532.7</v>
      </c>
      <c r="AW19" s="436">
        <f t="shared" si="2"/>
        <v>16725.2</v>
      </c>
      <c r="AX19" s="436">
        <f t="shared" si="2"/>
        <v>20077.2</v>
      </c>
      <c r="AY19" s="435">
        <f t="shared" si="2"/>
        <v>17782</v>
      </c>
      <c r="AZ19" s="436">
        <f t="shared" si="2"/>
        <v>19165.300000000003</v>
      </c>
      <c r="BA19" s="436">
        <f t="shared" ref="BA19:BC19" si="3">BA20+BA21</f>
        <v>19918.2</v>
      </c>
      <c r="BB19" s="436">
        <f t="shared" si="3"/>
        <v>21244</v>
      </c>
      <c r="BC19" s="435">
        <f t="shared" si="3"/>
        <v>22392.2</v>
      </c>
      <c r="BD19" s="436">
        <f t="shared" ref="BD19:BE19" si="4">BD20+BD21</f>
        <v>22912.5</v>
      </c>
      <c r="BE19" s="436">
        <f t="shared" si="4"/>
        <v>23547.4</v>
      </c>
      <c r="BF19" s="436">
        <f t="shared" ref="BF19" si="5">BF20+BF21</f>
        <v>21393.4</v>
      </c>
    </row>
    <row r="20" spans="1:58" s="424" customFormat="1" ht="11.25">
      <c r="A20" s="508" t="s">
        <v>236</v>
      </c>
      <c r="B20" s="508" t="s">
        <v>69</v>
      </c>
      <c r="C20" s="407" t="s">
        <v>332</v>
      </c>
      <c r="D20" s="408" t="s">
        <v>332</v>
      </c>
      <c r="E20" s="408" t="s">
        <v>332</v>
      </c>
      <c r="F20" s="408" t="s">
        <v>332</v>
      </c>
      <c r="G20" s="407" t="s">
        <v>332</v>
      </c>
      <c r="H20" s="408" t="s">
        <v>332</v>
      </c>
      <c r="I20" s="408" t="s">
        <v>332</v>
      </c>
      <c r="J20" s="504" t="s">
        <v>332</v>
      </c>
      <c r="K20" s="407" t="s">
        <v>332</v>
      </c>
      <c r="L20" s="408" t="s">
        <v>332</v>
      </c>
      <c r="M20" s="408" t="s">
        <v>332</v>
      </c>
      <c r="N20" s="504" t="s">
        <v>332</v>
      </c>
      <c r="O20" s="407" t="s">
        <v>332</v>
      </c>
      <c r="P20" s="408" t="s">
        <v>332</v>
      </c>
      <c r="Q20" s="408" t="s">
        <v>332</v>
      </c>
      <c r="R20" s="504" t="s">
        <v>332</v>
      </c>
      <c r="S20" s="407" t="s">
        <v>332</v>
      </c>
      <c r="T20" s="408" t="s">
        <v>332</v>
      </c>
      <c r="U20" s="408" t="s">
        <v>332</v>
      </c>
      <c r="V20" s="504" t="s">
        <v>332</v>
      </c>
      <c r="W20" s="407" t="s">
        <v>332</v>
      </c>
      <c r="X20" s="408" t="s">
        <v>332</v>
      </c>
      <c r="Y20" s="408" t="s">
        <v>332</v>
      </c>
      <c r="Z20" s="504" t="s">
        <v>332</v>
      </c>
      <c r="AA20" s="407" t="s">
        <v>332</v>
      </c>
      <c r="AB20" s="408" t="s">
        <v>332</v>
      </c>
      <c r="AC20" s="408" t="s">
        <v>332</v>
      </c>
      <c r="AD20" s="504" t="s">
        <v>332</v>
      </c>
      <c r="AE20" s="407" t="s">
        <v>332</v>
      </c>
      <c r="AF20" s="408" t="s">
        <v>332</v>
      </c>
      <c r="AG20" s="408" t="s">
        <v>332</v>
      </c>
      <c r="AH20" s="504" t="s">
        <v>332</v>
      </c>
      <c r="AI20" s="407" t="s">
        <v>332</v>
      </c>
      <c r="AJ20" s="408" t="s">
        <v>332</v>
      </c>
      <c r="AK20" s="408" t="s">
        <v>332</v>
      </c>
      <c r="AL20" s="504" t="s">
        <v>332</v>
      </c>
      <c r="AM20" s="407" t="s">
        <v>332</v>
      </c>
      <c r="AN20" s="408" t="s">
        <v>332</v>
      </c>
      <c r="AO20" s="408" t="s">
        <v>332</v>
      </c>
      <c r="AP20" s="504" t="s">
        <v>332</v>
      </c>
      <c r="AQ20" s="408" t="s">
        <v>332</v>
      </c>
      <c r="AR20" s="408" t="s">
        <v>332</v>
      </c>
      <c r="AS20" s="408" t="s">
        <v>332</v>
      </c>
      <c r="AT20" s="408" t="s">
        <v>332</v>
      </c>
      <c r="AU20" s="425">
        <v>16935.800000000003</v>
      </c>
      <c r="AV20" s="337">
        <v>16455.3</v>
      </c>
      <c r="AW20" s="337">
        <v>16647.900000000001</v>
      </c>
      <c r="AX20" s="337">
        <v>19994</v>
      </c>
      <c r="AY20" s="425">
        <v>17669.3</v>
      </c>
      <c r="AZ20" s="337">
        <v>19038.600000000002</v>
      </c>
      <c r="BA20" s="337">
        <v>19791.400000000001</v>
      </c>
      <c r="BB20" s="337">
        <v>21133.4</v>
      </c>
      <c r="BC20" s="425">
        <v>22280.5</v>
      </c>
      <c r="BD20" s="337">
        <v>22789.1</v>
      </c>
      <c r="BE20" s="337">
        <v>23422.300000000003</v>
      </c>
      <c r="BF20" s="337">
        <v>21235.7</v>
      </c>
    </row>
    <row r="21" spans="1:58" s="424" customFormat="1" ht="11.25">
      <c r="A21" s="412" t="s">
        <v>237</v>
      </c>
      <c r="B21" s="412" t="s">
        <v>70</v>
      </c>
      <c r="C21" s="407" t="s">
        <v>332</v>
      </c>
      <c r="D21" s="408" t="s">
        <v>332</v>
      </c>
      <c r="E21" s="408" t="s">
        <v>332</v>
      </c>
      <c r="F21" s="408" t="s">
        <v>332</v>
      </c>
      <c r="G21" s="407" t="s">
        <v>332</v>
      </c>
      <c r="H21" s="408" t="s">
        <v>332</v>
      </c>
      <c r="I21" s="408" t="s">
        <v>332</v>
      </c>
      <c r="J21" s="504" t="s">
        <v>332</v>
      </c>
      <c r="K21" s="407" t="s">
        <v>332</v>
      </c>
      <c r="L21" s="408" t="s">
        <v>332</v>
      </c>
      <c r="M21" s="408" t="s">
        <v>332</v>
      </c>
      <c r="N21" s="504" t="s">
        <v>332</v>
      </c>
      <c r="O21" s="407" t="s">
        <v>332</v>
      </c>
      <c r="P21" s="408" t="s">
        <v>332</v>
      </c>
      <c r="Q21" s="408" t="s">
        <v>332</v>
      </c>
      <c r="R21" s="504" t="s">
        <v>332</v>
      </c>
      <c r="S21" s="407" t="s">
        <v>332</v>
      </c>
      <c r="T21" s="408" t="s">
        <v>332</v>
      </c>
      <c r="U21" s="408" t="s">
        <v>332</v>
      </c>
      <c r="V21" s="504" t="s">
        <v>332</v>
      </c>
      <c r="W21" s="407" t="s">
        <v>332</v>
      </c>
      <c r="X21" s="408" t="s">
        <v>332</v>
      </c>
      <c r="Y21" s="408" t="s">
        <v>332</v>
      </c>
      <c r="Z21" s="504" t="s">
        <v>332</v>
      </c>
      <c r="AA21" s="407" t="s">
        <v>332</v>
      </c>
      <c r="AB21" s="408" t="s">
        <v>332</v>
      </c>
      <c r="AC21" s="408" t="s">
        <v>332</v>
      </c>
      <c r="AD21" s="504" t="s">
        <v>332</v>
      </c>
      <c r="AE21" s="407" t="s">
        <v>332</v>
      </c>
      <c r="AF21" s="408" t="s">
        <v>332</v>
      </c>
      <c r="AG21" s="408" t="s">
        <v>332</v>
      </c>
      <c r="AH21" s="504" t="s">
        <v>332</v>
      </c>
      <c r="AI21" s="407" t="s">
        <v>332</v>
      </c>
      <c r="AJ21" s="408" t="s">
        <v>332</v>
      </c>
      <c r="AK21" s="408" t="s">
        <v>332</v>
      </c>
      <c r="AL21" s="504" t="s">
        <v>332</v>
      </c>
      <c r="AM21" s="407" t="s">
        <v>332</v>
      </c>
      <c r="AN21" s="408" t="s">
        <v>332</v>
      </c>
      <c r="AO21" s="408" t="s">
        <v>332</v>
      </c>
      <c r="AP21" s="504" t="s">
        <v>332</v>
      </c>
      <c r="AQ21" s="408" t="s">
        <v>332</v>
      </c>
      <c r="AR21" s="408" t="s">
        <v>332</v>
      </c>
      <c r="AS21" s="408" t="s">
        <v>332</v>
      </c>
      <c r="AT21" s="408" t="s">
        <v>332</v>
      </c>
      <c r="AU21" s="425">
        <v>75.400000000000006</v>
      </c>
      <c r="AV21" s="337">
        <v>77.400000000000006</v>
      </c>
      <c r="AW21" s="337">
        <v>77.3</v>
      </c>
      <c r="AX21" s="337">
        <v>83.2</v>
      </c>
      <c r="AY21" s="425">
        <v>112.7</v>
      </c>
      <c r="AZ21" s="337">
        <v>126.7</v>
      </c>
      <c r="BA21" s="337">
        <v>126.8</v>
      </c>
      <c r="BB21" s="337">
        <v>110.6</v>
      </c>
      <c r="BC21" s="425">
        <v>111.7</v>
      </c>
      <c r="BD21" s="337">
        <v>123.39999999999999</v>
      </c>
      <c r="BE21" s="337">
        <v>125.1</v>
      </c>
      <c r="BF21" s="337">
        <v>157.69999999999999</v>
      </c>
    </row>
    <row r="22" spans="1:58" s="424" customFormat="1" ht="11.25">
      <c r="A22" s="525" t="s">
        <v>633</v>
      </c>
      <c r="B22" s="525" t="s">
        <v>634</v>
      </c>
      <c r="C22" s="405" t="s">
        <v>332</v>
      </c>
      <c r="D22" s="406" t="s">
        <v>332</v>
      </c>
      <c r="E22" s="406" t="s">
        <v>332</v>
      </c>
      <c r="F22" s="406" t="s">
        <v>332</v>
      </c>
      <c r="G22" s="405" t="s">
        <v>332</v>
      </c>
      <c r="H22" s="406" t="s">
        <v>332</v>
      </c>
      <c r="I22" s="406" t="s">
        <v>332</v>
      </c>
      <c r="J22" s="510" t="s">
        <v>332</v>
      </c>
      <c r="K22" s="405" t="s">
        <v>332</v>
      </c>
      <c r="L22" s="406" t="s">
        <v>332</v>
      </c>
      <c r="M22" s="406" t="s">
        <v>332</v>
      </c>
      <c r="N22" s="510" t="s">
        <v>332</v>
      </c>
      <c r="O22" s="405" t="s">
        <v>332</v>
      </c>
      <c r="P22" s="406" t="s">
        <v>332</v>
      </c>
      <c r="Q22" s="406" t="s">
        <v>332</v>
      </c>
      <c r="R22" s="510" t="s">
        <v>332</v>
      </c>
      <c r="S22" s="405" t="s">
        <v>332</v>
      </c>
      <c r="T22" s="406" t="s">
        <v>332</v>
      </c>
      <c r="U22" s="406" t="s">
        <v>332</v>
      </c>
      <c r="V22" s="510" t="s">
        <v>332</v>
      </c>
      <c r="W22" s="405" t="s">
        <v>332</v>
      </c>
      <c r="X22" s="406" t="s">
        <v>332</v>
      </c>
      <c r="Y22" s="406" t="s">
        <v>332</v>
      </c>
      <c r="Z22" s="510" t="s">
        <v>332</v>
      </c>
      <c r="AA22" s="405" t="s">
        <v>332</v>
      </c>
      <c r="AB22" s="406" t="s">
        <v>332</v>
      </c>
      <c r="AC22" s="406" t="s">
        <v>332</v>
      </c>
      <c r="AD22" s="510" t="s">
        <v>332</v>
      </c>
      <c r="AE22" s="405" t="s">
        <v>332</v>
      </c>
      <c r="AF22" s="406" t="s">
        <v>332</v>
      </c>
      <c r="AG22" s="406" t="s">
        <v>332</v>
      </c>
      <c r="AH22" s="510" t="s">
        <v>332</v>
      </c>
      <c r="AI22" s="405" t="s">
        <v>332</v>
      </c>
      <c r="AJ22" s="406" t="s">
        <v>332</v>
      </c>
      <c r="AK22" s="406" t="s">
        <v>332</v>
      </c>
      <c r="AL22" s="510" t="s">
        <v>332</v>
      </c>
      <c r="AM22" s="405" t="s">
        <v>332</v>
      </c>
      <c r="AN22" s="406" t="s">
        <v>332</v>
      </c>
      <c r="AO22" s="406" t="s">
        <v>332</v>
      </c>
      <c r="AP22" s="510" t="s">
        <v>332</v>
      </c>
      <c r="AQ22" s="406" t="s">
        <v>332</v>
      </c>
      <c r="AR22" s="406" t="s">
        <v>332</v>
      </c>
      <c r="AS22" s="406" t="s">
        <v>332</v>
      </c>
      <c r="AT22" s="406" t="s">
        <v>332</v>
      </c>
      <c r="AU22" s="435">
        <f t="shared" ref="AU22:BF22" si="6">SUM(AU23)</f>
        <v>12124.500000000002</v>
      </c>
      <c r="AV22" s="436">
        <f t="shared" si="6"/>
        <v>12144.300000000001</v>
      </c>
      <c r="AW22" s="436">
        <f t="shared" si="6"/>
        <v>12098.2</v>
      </c>
      <c r="AX22" s="436">
        <f t="shared" si="6"/>
        <v>11860</v>
      </c>
      <c r="AY22" s="435">
        <f t="shared" si="6"/>
        <v>12195.199999999999</v>
      </c>
      <c r="AZ22" s="436">
        <f t="shared" si="6"/>
        <v>12149.900000000001</v>
      </c>
      <c r="BA22" s="436">
        <f t="shared" si="6"/>
        <v>12145.1</v>
      </c>
      <c r="BB22" s="436">
        <f t="shared" si="6"/>
        <v>12580.4</v>
      </c>
      <c r="BC22" s="435">
        <f t="shared" si="6"/>
        <v>17803.899999999998</v>
      </c>
      <c r="BD22" s="436">
        <f t="shared" si="6"/>
        <v>30165.100000000002</v>
      </c>
      <c r="BE22" s="436">
        <f t="shared" si="6"/>
        <v>32536.699999999997</v>
      </c>
      <c r="BF22" s="436">
        <f t="shared" si="6"/>
        <v>33540.1</v>
      </c>
    </row>
    <row r="23" spans="1:58" s="424" customFormat="1" ht="11.25">
      <c r="A23" s="508" t="s">
        <v>236</v>
      </c>
      <c r="B23" s="508" t="s">
        <v>69</v>
      </c>
      <c r="C23" s="407" t="s">
        <v>332</v>
      </c>
      <c r="D23" s="408" t="s">
        <v>332</v>
      </c>
      <c r="E23" s="408" t="s">
        <v>332</v>
      </c>
      <c r="F23" s="408" t="s">
        <v>332</v>
      </c>
      <c r="G23" s="407" t="s">
        <v>332</v>
      </c>
      <c r="H23" s="408" t="s">
        <v>332</v>
      </c>
      <c r="I23" s="408" t="s">
        <v>332</v>
      </c>
      <c r="J23" s="504" t="s">
        <v>332</v>
      </c>
      <c r="K23" s="407" t="s">
        <v>332</v>
      </c>
      <c r="L23" s="408" t="s">
        <v>332</v>
      </c>
      <c r="M23" s="408" t="s">
        <v>332</v>
      </c>
      <c r="N23" s="504" t="s">
        <v>332</v>
      </c>
      <c r="O23" s="407" t="s">
        <v>332</v>
      </c>
      <c r="P23" s="408" t="s">
        <v>332</v>
      </c>
      <c r="Q23" s="408" t="s">
        <v>332</v>
      </c>
      <c r="R23" s="504" t="s">
        <v>332</v>
      </c>
      <c r="S23" s="407" t="s">
        <v>332</v>
      </c>
      <c r="T23" s="408" t="s">
        <v>332</v>
      </c>
      <c r="U23" s="408" t="s">
        <v>332</v>
      </c>
      <c r="V23" s="504" t="s">
        <v>332</v>
      </c>
      <c r="W23" s="407" t="s">
        <v>332</v>
      </c>
      <c r="X23" s="408" t="s">
        <v>332</v>
      </c>
      <c r="Y23" s="408" t="s">
        <v>332</v>
      </c>
      <c r="Z23" s="504" t="s">
        <v>332</v>
      </c>
      <c r="AA23" s="407" t="s">
        <v>332</v>
      </c>
      <c r="AB23" s="408" t="s">
        <v>332</v>
      </c>
      <c r="AC23" s="408" t="s">
        <v>332</v>
      </c>
      <c r="AD23" s="504" t="s">
        <v>332</v>
      </c>
      <c r="AE23" s="407" t="s">
        <v>332</v>
      </c>
      <c r="AF23" s="408" t="s">
        <v>332</v>
      </c>
      <c r="AG23" s="408" t="s">
        <v>332</v>
      </c>
      <c r="AH23" s="504" t="s">
        <v>332</v>
      </c>
      <c r="AI23" s="407" t="s">
        <v>332</v>
      </c>
      <c r="AJ23" s="408" t="s">
        <v>332</v>
      </c>
      <c r="AK23" s="408" t="s">
        <v>332</v>
      </c>
      <c r="AL23" s="504" t="s">
        <v>332</v>
      </c>
      <c r="AM23" s="407" t="s">
        <v>332</v>
      </c>
      <c r="AN23" s="408" t="s">
        <v>332</v>
      </c>
      <c r="AO23" s="408" t="s">
        <v>332</v>
      </c>
      <c r="AP23" s="504" t="s">
        <v>332</v>
      </c>
      <c r="AQ23" s="408" t="s">
        <v>332</v>
      </c>
      <c r="AR23" s="408" t="s">
        <v>332</v>
      </c>
      <c r="AS23" s="408" t="s">
        <v>332</v>
      </c>
      <c r="AT23" s="408" t="s">
        <v>332</v>
      </c>
      <c r="AU23" s="425">
        <v>12124.500000000002</v>
      </c>
      <c r="AV23" s="337">
        <v>12144.300000000001</v>
      </c>
      <c r="AW23" s="337">
        <v>12098.2</v>
      </c>
      <c r="AX23" s="337">
        <v>11860</v>
      </c>
      <c r="AY23" s="425">
        <v>12195.199999999999</v>
      </c>
      <c r="AZ23" s="337">
        <v>12149.900000000001</v>
      </c>
      <c r="BA23" s="337">
        <v>12145.1</v>
      </c>
      <c r="BB23" s="337">
        <v>12580.4</v>
      </c>
      <c r="BC23" s="425">
        <v>17803.899999999998</v>
      </c>
      <c r="BD23" s="337">
        <v>30165.100000000002</v>
      </c>
      <c r="BE23" s="337">
        <v>32536.699999999997</v>
      </c>
      <c r="BF23" s="337">
        <v>33540.1</v>
      </c>
    </row>
    <row r="24" spans="1:58" s="424" customFormat="1" ht="11.25">
      <c r="A24" s="509" t="s">
        <v>239</v>
      </c>
      <c r="B24" s="509" t="s">
        <v>72</v>
      </c>
      <c r="C24" s="435">
        <f t="shared" ref="C24:AT24" si="7">C25+C26</f>
        <v>12001.7</v>
      </c>
      <c r="D24" s="436">
        <f t="shared" si="7"/>
        <v>9593.7999999999993</v>
      </c>
      <c r="E24" s="436">
        <f t="shared" si="7"/>
        <v>8529.2000000000007</v>
      </c>
      <c r="F24" s="436">
        <f t="shared" si="7"/>
        <v>8547.5</v>
      </c>
      <c r="G24" s="435">
        <f t="shared" si="7"/>
        <v>10159.700000000001</v>
      </c>
      <c r="H24" s="436">
        <f t="shared" si="7"/>
        <v>10816.199999999999</v>
      </c>
      <c r="I24" s="436">
        <f t="shared" si="7"/>
        <v>12385.2</v>
      </c>
      <c r="J24" s="437">
        <f t="shared" si="7"/>
        <v>10739.1</v>
      </c>
      <c r="K24" s="435">
        <f t="shared" si="7"/>
        <v>8517.5</v>
      </c>
      <c r="L24" s="436">
        <f t="shared" si="7"/>
        <v>8329.5</v>
      </c>
      <c r="M24" s="436">
        <f t="shared" si="7"/>
        <v>6990.8</v>
      </c>
      <c r="N24" s="437">
        <f t="shared" si="7"/>
        <v>6835.9</v>
      </c>
      <c r="O24" s="435">
        <f t="shared" si="7"/>
        <v>14852.8</v>
      </c>
      <c r="P24" s="436">
        <f t="shared" si="7"/>
        <v>14323.7</v>
      </c>
      <c r="Q24" s="436">
        <f t="shared" si="7"/>
        <v>12239.900000000001</v>
      </c>
      <c r="R24" s="437">
        <f t="shared" si="7"/>
        <v>16788.8</v>
      </c>
      <c r="S24" s="435">
        <f t="shared" si="7"/>
        <v>17266.8</v>
      </c>
      <c r="T24" s="436">
        <f t="shared" si="7"/>
        <v>18998.099999999999</v>
      </c>
      <c r="U24" s="436">
        <f t="shared" si="7"/>
        <v>17379.599999999999</v>
      </c>
      <c r="V24" s="437">
        <f t="shared" si="7"/>
        <v>15468.400000000001</v>
      </c>
      <c r="W24" s="435">
        <f t="shared" si="7"/>
        <v>11765.1</v>
      </c>
      <c r="X24" s="436">
        <f t="shared" si="7"/>
        <v>10298.999999999998</v>
      </c>
      <c r="Y24" s="436">
        <f t="shared" si="7"/>
        <v>13536.099999999999</v>
      </c>
      <c r="Z24" s="437">
        <f t="shared" si="7"/>
        <v>17881.100000000002</v>
      </c>
      <c r="AA24" s="435">
        <f t="shared" si="7"/>
        <v>18003.900000000001</v>
      </c>
      <c r="AB24" s="436">
        <f t="shared" si="7"/>
        <v>20256.699999999997</v>
      </c>
      <c r="AC24" s="436">
        <f t="shared" si="7"/>
        <v>19794</v>
      </c>
      <c r="AD24" s="437">
        <f t="shared" si="7"/>
        <v>19493.599999999999</v>
      </c>
      <c r="AE24" s="435">
        <f t="shared" si="7"/>
        <v>20994.899999999998</v>
      </c>
      <c r="AF24" s="436">
        <f t="shared" si="7"/>
        <v>22090.400000000001</v>
      </c>
      <c r="AG24" s="436">
        <f t="shared" si="7"/>
        <v>23190.600000000002</v>
      </c>
      <c r="AH24" s="437">
        <f t="shared" si="7"/>
        <v>22829.3</v>
      </c>
      <c r="AI24" s="435">
        <f t="shared" si="7"/>
        <v>22151.9</v>
      </c>
      <c r="AJ24" s="436">
        <f t="shared" si="7"/>
        <v>22540.7</v>
      </c>
      <c r="AK24" s="436">
        <f t="shared" si="7"/>
        <v>21977.1</v>
      </c>
      <c r="AL24" s="437">
        <f t="shared" si="7"/>
        <v>20678.100000000002</v>
      </c>
      <c r="AM24" s="435">
        <f t="shared" si="7"/>
        <v>21952.1</v>
      </c>
      <c r="AN24" s="436">
        <f t="shared" si="7"/>
        <v>23401.8</v>
      </c>
      <c r="AO24" s="436">
        <f t="shared" si="7"/>
        <v>22794.1</v>
      </c>
      <c r="AP24" s="437">
        <f t="shared" si="7"/>
        <v>20557.199999999997</v>
      </c>
      <c r="AQ24" s="436">
        <f t="shared" si="7"/>
        <v>20325</v>
      </c>
      <c r="AR24" s="436">
        <f t="shared" si="7"/>
        <v>17337.400000000001</v>
      </c>
      <c r="AS24" s="436">
        <f t="shared" si="7"/>
        <v>17348.900000000001</v>
      </c>
      <c r="AT24" s="436">
        <f t="shared" si="7"/>
        <v>17556.899999999998</v>
      </c>
      <c r="AU24" s="405" t="s">
        <v>332</v>
      </c>
      <c r="AV24" s="406" t="s">
        <v>332</v>
      </c>
      <c r="AW24" s="406" t="s">
        <v>332</v>
      </c>
      <c r="AX24" s="406" t="s">
        <v>332</v>
      </c>
      <c r="AY24" s="405" t="s">
        <v>332</v>
      </c>
      <c r="AZ24" s="406" t="s">
        <v>332</v>
      </c>
      <c r="BA24" s="406" t="s">
        <v>332</v>
      </c>
      <c r="BB24" s="406" t="s">
        <v>332</v>
      </c>
      <c r="BC24" s="405" t="s">
        <v>332</v>
      </c>
      <c r="BD24" s="406" t="s">
        <v>332</v>
      </c>
      <c r="BE24" s="406" t="s">
        <v>332</v>
      </c>
      <c r="BF24" s="406" t="s">
        <v>332</v>
      </c>
    </row>
    <row r="25" spans="1:58" s="424" customFormat="1" ht="11.25">
      <c r="A25" s="508" t="s">
        <v>236</v>
      </c>
      <c r="B25" s="508" t="s">
        <v>69</v>
      </c>
      <c r="C25" s="425">
        <v>11986.7</v>
      </c>
      <c r="D25" s="337">
        <v>9572.4</v>
      </c>
      <c r="E25" s="337">
        <v>8510.6</v>
      </c>
      <c r="F25" s="337">
        <v>8524.2000000000007</v>
      </c>
      <c r="G25" s="425">
        <v>10137.1</v>
      </c>
      <c r="H25" s="337">
        <v>10811.8</v>
      </c>
      <c r="I25" s="337">
        <v>12374.6</v>
      </c>
      <c r="J25" s="338">
        <v>10730.5</v>
      </c>
      <c r="K25" s="425">
        <v>8507.7000000000007</v>
      </c>
      <c r="L25" s="337">
        <v>8323</v>
      </c>
      <c r="M25" s="337">
        <v>6939.8</v>
      </c>
      <c r="N25" s="338">
        <v>6783</v>
      </c>
      <c r="O25" s="425">
        <v>14800.8</v>
      </c>
      <c r="P25" s="337">
        <v>14273.5</v>
      </c>
      <c r="Q25" s="337">
        <v>12185.7</v>
      </c>
      <c r="R25" s="338">
        <v>16740.5</v>
      </c>
      <c r="S25" s="425">
        <v>17218.7</v>
      </c>
      <c r="T25" s="337">
        <v>18950.3</v>
      </c>
      <c r="U25" s="337">
        <v>17350.3</v>
      </c>
      <c r="V25" s="338">
        <v>15437.7</v>
      </c>
      <c r="W25" s="425">
        <v>11736.1</v>
      </c>
      <c r="X25" s="337">
        <v>10278.199999999999</v>
      </c>
      <c r="Y25" s="337">
        <v>13516.3</v>
      </c>
      <c r="Z25" s="338">
        <v>17863.800000000003</v>
      </c>
      <c r="AA25" s="425">
        <v>17983.100000000002</v>
      </c>
      <c r="AB25" s="337">
        <v>20230.599999999999</v>
      </c>
      <c r="AC25" s="337">
        <v>19766.900000000001</v>
      </c>
      <c r="AD25" s="338">
        <v>19466.3</v>
      </c>
      <c r="AE25" s="425">
        <v>20970.899999999998</v>
      </c>
      <c r="AF25" s="337">
        <v>22064.100000000002</v>
      </c>
      <c r="AG25" s="337">
        <v>23166.300000000003</v>
      </c>
      <c r="AH25" s="338">
        <v>22815.3</v>
      </c>
      <c r="AI25" s="425">
        <v>22138.400000000001</v>
      </c>
      <c r="AJ25" s="337">
        <v>22527</v>
      </c>
      <c r="AK25" s="337">
        <v>21971.8</v>
      </c>
      <c r="AL25" s="338">
        <v>20494.900000000001</v>
      </c>
      <c r="AM25" s="425">
        <v>21768.6</v>
      </c>
      <c r="AN25" s="337">
        <v>23360.3</v>
      </c>
      <c r="AO25" s="337">
        <v>22749.5</v>
      </c>
      <c r="AP25" s="338">
        <v>20508.399999999998</v>
      </c>
      <c r="AQ25" s="337">
        <v>20273</v>
      </c>
      <c r="AR25" s="337">
        <v>17332</v>
      </c>
      <c r="AS25" s="337">
        <v>17343.600000000002</v>
      </c>
      <c r="AT25" s="337">
        <v>17551.599999999999</v>
      </c>
      <c r="AU25" s="405" t="s">
        <v>332</v>
      </c>
      <c r="AV25" s="408" t="s">
        <v>332</v>
      </c>
      <c r="AW25" s="408" t="s">
        <v>332</v>
      </c>
      <c r="AX25" s="408" t="s">
        <v>332</v>
      </c>
      <c r="AY25" s="405" t="s">
        <v>332</v>
      </c>
      <c r="AZ25" s="408" t="s">
        <v>332</v>
      </c>
      <c r="BA25" s="408" t="s">
        <v>332</v>
      </c>
      <c r="BB25" s="408" t="s">
        <v>332</v>
      </c>
      <c r="BC25" s="405" t="s">
        <v>332</v>
      </c>
      <c r="BD25" s="408" t="s">
        <v>332</v>
      </c>
      <c r="BE25" s="408" t="s">
        <v>332</v>
      </c>
      <c r="BF25" s="408" t="s">
        <v>332</v>
      </c>
    </row>
    <row r="26" spans="1:58" s="424" customFormat="1" ht="11.25">
      <c r="A26" s="412" t="s">
        <v>237</v>
      </c>
      <c r="B26" s="412" t="s">
        <v>70</v>
      </c>
      <c r="C26" s="425">
        <v>15</v>
      </c>
      <c r="D26" s="337">
        <v>21.4</v>
      </c>
      <c r="E26" s="337">
        <v>18.600000000000001</v>
      </c>
      <c r="F26" s="337">
        <v>23.3</v>
      </c>
      <c r="G26" s="425">
        <v>22.6</v>
      </c>
      <c r="H26" s="337">
        <v>4.4000000000000004</v>
      </c>
      <c r="I26" s="337">
        <v>10.6</v>
      </c>
      <c r="J26" s="338">
        <v>8.6</v>
      </c>
      <c r="K26" s="425">
        <v>9.8000000000000007</v>
      </c>
      <c r="L26" s="337">
        <v>6.5</v>
      </c>
      <c r="M26" s="337">
        <v>51</v>
      </c>
      <c r="N26" s="338">
        <v>52.9</v>
      </c>
      <c r="O26" s="425">
        <v>52</v>
      </c>
      <c r="P26" s="337">
        <v>50.2</v>
      </c>
      <c r="Q26" s="337">
        <v>54.2</v>
      </c>
      <c r="R26" s="338">
        <v>48.3</v>
      </c>
      <c r="S26" s="425">
        <v>48.1</v>
      </c>
      <c r="T26" s="337">
        <v>47.8</v>
      </c>
      <c r="U26" s="337">
        <v>29.3</v>
      </c>
      <c r="V26" s="338">
        <v>30.7</v>
      </c>
      <c r="W26" s="425">
        <v>29</v>
      </c>
      <c r="X26" s="337">
        <v>20.8</v>
      </c>
      <c r="Y26" s="337">
        <v>19.8</v>
      </c>
      <c r="Z26" s="338">
        <v>17.3</v>
      </c>
      <c r="AA26" s="425">
        <v>20.8</v>
      </c>
      <c r="AB26" s="337">
        <v>26.1</v>
      </c>
      <c r="AC26" s="337">
        <v>27.1</v>
      </c>
      <c r="AD26" s="338">
        <v>27.3</v>
      </c>
      <c r="AE26" s="425">
        <v>24</v>
      </c>
      <c r="AF26" s="337">
        <v>26.3</v>
      </c>
      <c r="AG26" s="337">
        <v>24.3</v>
      </c>
      <c r="AH26" s="338">
        <v>14</v>
      </c>
      <c r="AI26" s="425">
        <v>13.5</v>
      </c>
      <c r="AJ26" s="337">
        <v>13.7</v>
      </c>
      <c r="AK26" s="337">
        <v>5.3</v>
      </c>
      <c r="AL26" s="338">
        <v>183.2</v>
      </c>
      <c r="AM26" s="425">
        <v>183.5</v>
      </c>
      <c r="AN26" s="337">
        <v>41.5</v>
      </c>
      <c r="AO26" s="337">
        <v>44.6</v>
      </c>
      <c r="AP26" s="338">
        <v>48.8</v>
      </c>
      <c r="AQ26" s="337">
        <v>52</v>
      </c>
      <c r="AR26" s="337">
        <v>5.4</v>
      </c>
      <c r="AS26" s="337">
        <v>5.3</v>
      </c>
      <c r="AT26" s="337">
        <v>5.3</v>
      </c>
      <c r="AU26" s="405" t="s">
        <v>332</v>
      </c>
      <c r="AV26" s="408" t="s">
        <v>332</v>
      </c>
      <c r="AW26" s="408" t="s">
        <v>332</v>
      </c>
      <c r="AX26" s="408" t="s">
        <v>332</v>
      </c>
      <c r="AY26" s="405" t="s">
        <v>332</v>
      </c>
      <c r="AZ26" s="408" t="s">
        <v>332</v>
      </c>
      <c r="BA26" s="408" t="s">
        <v>332</v>
      </c>
      <c r="BB26" s="408" t="s">
        <v>332</v>
      </c>
      <c r="BC26" s="405" t="s">
        <v>332</v>
      </c>
      <c r="BD26" s="408" t="s">
        <v>332</v>
      </c>
      <c r="BE26" s="408" t="s">
        <v>332</v>
      </c>
      <c r="BF26" s="408" t="s">
        <v>332</v>
      </c>
    </row>
    <row r="27" spans="1:58" s="424" customFormat="1" ht="22.5">
      <c r="A27" s="525" t="s">
        <v>240</v>
      </c>
      <c r="B27" s="525" t="s">
        <v>73</v>
      </c>
      <c r="C27" s="435">
        <f>SUM(C28)</f>
        <v>0</v>
      </c>
      <c r="D27" s="436">
        <f t="shared" ref="D27:AT27" si="8">SUM(D28)</f>
        <v>0</v>
      </c>
      <c r="E27" s="436">
        <f t="shared" si="8"/>
        <v>620.70000000000005</v>
      </c>
      <c r="F27" s="436">
        <f t="shared" si="8"/>
        <v>840.8</v>
      </c>
      <c r="G27" s="435">
        <f t="shared" si="8"/>
        <v>3773.7</v>
      </c>
      <c r="H27" s="436">
        <f t="shared" si="8"/>
        <v>6185</v>
      </c>
      <c r="I27" s="436">
        <f t="shared" si="8"/>
        <v>7325.5</v>
      </c>
      <c r="J27" s="437">
        <f t="shared" si="8"/>
        <v>7311.8</v>
      </c>
      <c r="K27" s="435">
        <f t="shared" si="8"/>
        <v>7384.4</v>
      </c>
      <c r="L27" s="436">
        <f t="shared" si="8"/>
        <v>7238.7</v>
      </c>
      <c r="M27" s="436">
        <f t="shared" si="8"/>
        <v>7343.7</v>
      </c>
      <c r="N27" s="437">
        <f t="shared" si="8"/>
        <v>7330.4</v>
      </c>
      <c r="O27" s="435">
        <f t="shared" si="8"/>
        <v>6786.9</v>
      </c>
      <c r="P27" s="436">
        <f t="shared" si="8"/>
        <v>6685</v>
      </c>
      <c r="Q27" s="436">
        <f t="shared" si="8"/>
        <v>6496.5</v>
      </c>
      <c r="R27" s="437">
        <f t="shared" si="8"/>
        <v>6218</v>
      </c>
      <c r="S27" s="435">
        <f t="shared" si="8"/>
        <v>6307.3</v>
      </c>
      <c r="T27" s="436">
        <f t="shared" si="8"/>
        <v>4949.3999999999996</v>
      </c>
      <c r="U27" s="436">
        <f t="shared" si="8"/>
        <v>5016.7</v>
      </c>
      <c r="V27" s="437">
        <f t="shared" si="8"/>
        <v>4982.3</v>
      </c>
      <c r="W27" s="435">
        <f t="shared" si="8"/>
        <v>5054.7</v>
      </c>
      <c r="X27" s="436">
        <f t="shared" si="8"/>
        <v>3518.5</v>
      </c>
      <c r="Y27" s="436">
        <f t="shared" si="8"/>
        <v>0</v>
      </c>
      <c r="Z27" s="437">
        <f t="shared" si="8"/>
        <v>0</v>
      </c>
      <c r="AA27" s="435">
        <f t="shared" si="8"/>
        <v>0</v>
      </c>
      <c r="AB27" s="436">
        <f t="shared" si="8"/>
        <v>0</v>
      </c>
      <c r="AC27" s="436">
        <f t="shared" si="8"/>
        <v>0</v>
      </c>
      <c r="AD27" s="437">
        <f t="shared" si="8"/>
        <v>0</v>
      </c>
      <c r="AE27" s="435">
        <f t="shared" si="8"/>
        <v>0</v>
      </c>
      <c r="AF27" s="436">
        <f t="shared" si="8"/>
        <v>0</v>
      </c>
      <c r="AG27" s="436">
        <f t="shared" si="8"/>
        <v>0</v>
      </c>
      <c r="AH27" s="437">
        <f t="shared" si="8"/>
        <v>0</v>
      </c>
      <c r="AI27" s="435">
        <f t="shared" si="8"/>
        <v>1717.8</v>
      </c>
      <c r="AJ27" s="436">
        <f t="shared" si="8"/>
        <v>1726.9</v>
      </c>
      <c r="AK27" s="436">
        <f t="shared" si="8"/>
        <v>2333.1999999999998</v>
      </c>
      <c r="AL27" s="437">
        <f t="shared" si="8"/>
        <v>2800.7</v>
      </c>
      <c r="AM27" s="435">
        <f t="shared" si="8"/>
        <v>3119.9</v>
      </c>
      <c r="AN27" s="436">
        <f t="shared" si="8"/>
        <v>4359.2</v>
      </c>
      <c r="AO27" s="436">
        <f t="shared" si="8"/>
        <v>4549.8999999999996</v>
      </c>
      <c r="AP27" s="437">
        <f t="shared" si="8"/>
        <v>5164.1000000000004</v>
      </c>
      <c r="AQ27" s="436">
        <f t="shared" si="8"/>
        <v>6244.7</v>
      </c>
      <c r="AR27" s="436">
        <f t="shared" si="8"/>
        <v>7090.2000000000007</v>
      </c>
      <c r="AS27" s="436">
        <f t="shared" si="8"/>
        <v>7097.2000000000007</v>
      </c>
      <c r="AT27" s="436">
        <f t="shared" si="8"/>
        <v>11908.2</v>
      </c>
      <c r="AU27" s="405" t="s">
        <v>332</v>
      </c>
      <c r="AV27" s="406" t="s">
        <v>332</v>
      </c>
      <c r="AW27" s="406" t="s">
        <v>332</v>
      </c>
      <c r="AX27" s="406" t="s">
        <v>332</v>
      </c>
      <c r="AY27" s="405" t="s">
        <v>332</v>
      </c>
      <c r="AZ27" s="406" t="s">
        <v>332</v>
      </c>
      <c r="BA27" s="406" t="s">
        <v>332</v>
      </c>
      <c r="BB27" s="406" t="s">
        <v>332</v>
      </c>
      <c r="BC27" s="405" t="s">
        <v>332</v>
      </c>
      <c r="BD27" s="406" t="s">
        <v>332</v>
      </c>
      <c r="BE27" s="406" t="s">
        <v>332</v>
      </c>
      <c r="BF27" s="406" t="s">
        <v>332</v>
      </c>
    </row>
    <row r="28" spans="1:58" s="424" customFormat="1" ht="11.25">
      <c r="A28" s="412" t="s">
        <v>236</v>
      </c>
      <c r="B28" s="412" t="s">
        <v>69</v>
      </c>
      <c r="C28" s="425">
        <v>0</v>
      </c>
      <c r="D28" s="337">
        <v>0</v>
      </c>
      <c r="E28" s="337">
        <v>620.70000000000005</v>
      </c>
      <c r="F28" s="337">
        <v>840.8</v>
      </c>
      <c r="G28" s="425">
        <v>3773.7</v>
      </c>
      <c r="H28" s="337">
        <v>6185</v>
      </c>
      <c r="I28" s="337">
        <v>7325.5</v>
      </c>
      <c r="J28" s="338">
        <v>7311.8</v>
      </c>
      <c r="K28" s="425">
        <v>7384.4</v>
      </c>
      <c r="L28" s="337">
        <v>7238.7</v>
      </c>
      <c r="M28" s="337">
        <v>7343.7</v>
      </c>
      <c r="N28" s="338">
        <v>7330.4</v>
      </c>
      <c r="O28" s="425">
        <v>6786.9</v>
      </c>
      <c r="P28" s="337">
        <v>6685</v>
      </c>
      <c r="Q28" s="337">
        <v>6496.5</v>
      </c>
      <c r="R28" s="338">
        <v>6218</v>
      </c>
      <c r="S28" s="425">
        <v>6307.3</v>
      </c>
      <c r="T28" s="337">
        <v>4949.3999999999996</v>
      </c>
      <c r="U28" s="337">
        <v>5016.7</v>
      </c>
      <c r="V28" s="338">
        <v>4982.3</v>
      </c>
      <c r="W28" s="425">
        <v>5054.7</v>
      </c>
      <c r="X28" s="337">
        <v>3518.5</v>
      </c>
      <c r="Y28" s="337">
        <v>0</v>
      </c>
      <c r="Z28" s="338">
        <v>0</v>
      </c>
      <c r="AA28" s="425">
        <v>0</v>
      </c>
      <c r="AB28" s="337">
        <v>0</v>
      </c>
      <c r="AC28" s="337">
        <v>0</v>
      </c>
      <c r="AD28" s="338">
        <v>0</v>
      </c>
      <c r="AE28" s="425">
        <v>0</v>
      </c>
      <c r="AF28" s="337">
        <v>0</v>
      </c>
      <c r="AG28" s="337">
        <v>0</v>
      </c>
      <c r="AH28" s="338">
        <v>0</v>
      </c>
      <c r="AI28" s="425">
        <v>1717.8</v>
      </c>
      <c r="AJ28" s="337">
        <v>1726.9</v>
      </c>
      <c r="AK28" s="337">
        <v>2333.1999999999998</v>
      </c>
      <c r="AL28" s="338">
        <v>2800.7</v>
      </c>
      <c r="AM28" s="425">
        <v>3119.9</v>
      </c>
      <c r="AN28" s="337">
        <v>4359.2</v>
      </c>
      <c r="AO28" s="337">
        <v>4549.8999999999996</v>
      </c>
      <c r="AP28" s="338">
        <v>5164.1000000000004</v>
      </c>
      <c r="AQ28" s="337">
        <v>6244.7</v>
      </c>
      <c r="AR28" s="337">
        <v>7090.2000000000007</v>
      </c>
      <c r="AS28" s="337">
        <v>7097.2000000000007</v>
      </c>
      <c r="AT28" s="337">
        <v>11908.2</v>
      </c>
      <c r="AU28" s="407" t="s">
        <v>332</v>
      </c>
      <c r="AV28" s="408" t="s">
        <v>332</v>
      </c>
      <c r="AW28" s="408" t="s">
        <v>332</v>
      </c>
      <c r="AX28" s="408" t="s">
        <v>332</v>
      </c>
      <c r="AY28" s="407" t="s">
        <v>332</v>
      </c>
      <c r="AZ28" s="408" t="s">
        <v>332</v>
      </c>
      <c r="BA28" s="408" t="s">
        <v>332</v>
      </c>
      <c r="BB28" s="408" t="s">
        <v>332</v>
      </c>
      <c r="BC28" s="407" t="s">
        <v>332</v>
      </c>
      <c r="BD28" s="408" t="s">
        <v>332</v>
      </c>
      <c r="BE28" s="408" t="s">
        <v>332</v>
      </c>
      <c r="BF28" s="408" t="s">
        <v>332</v>
      </c>
    </row>
    <row r="29" spans="1:58" s="176" customFormat="1" ht="11.25">
      <c r="A29" s="51" t="s">
        <v>635</v>
      </c>
      <c r="B29" s="51" t="s">
        <v>636</v>
      </c>
      <c r="C29" s="37">
        <f t="shared" ref="C29:AT29" si="9">C24+C27</f>
        <v>12001.7</v>
      </c>
      <c r="D29" s="38">
        <f t="shared" si="9"/>
        <v>9593.7999999999993</v>
      </c>
      <c r="E29" s="38">
        <f t="shared" si="9"/>
        <v>9149.9000000000015</v>
      </c>
      <c r="F29" s="38">
        <f t="shared" si="9"/>
        <v>9388.2999999999993</v>
      </c>
      <c r="G29" s="37">
        <f t="shared" si="9"/>
        <v>13933.400000000001</v>
      </c>
      <c r="H29" s="38">
        <f t="shared" si="9"/>
        <v>17001.199999999997</v>
      </c>
      <c r="I29" s="38">
        <f t="shared" si="9"/>
        <v>19710.7</v>
      </c>
      <c r="J29" s="39">
        <f t="shared" si="9"/>
        <v>18050.900000000001</v>
      </c>
      <c r="K29" s="37">
        <f t="shared" si="9"/>
        <v>15901.9</v>
      </c>
      <c r="L29" s="38">
        <f t="shared" si="9"/>
        <v>15568.2</v>
      </c>
      <c r="M29" s="38">
        <f t="shared" si="9"/>
        <v>14334.5</v>
      </c>
      <c r="N29" s="39">
        <f t="shared" si="9"/>
        <v>14166.3</v>
      </c>
      <c r="O29" s="37">
        <f t="shared" si="9"/>
        <v>21639.699999999997</v>
      </c>
      <c r="P29" s="38">
        <f t="shared" si="9"/>
        <v>21008.7</v>
      </c>
      <c r="Q29" s="38">
        <f t="shared" si="9"/>
        <v>18736.400000000001</v>
      </c>
      <c r="R29" s="39">
        <f t="shared" si="9"/>
        <v>23006.799999999999</v>
      </c>
      <c r="S29" s="37">
        <f t="shared" si="9"/>
        <v>23574.1</v>
      </c>
      <c r="T29" s="38">
        <f t="shared" si="9"/>
        <v>23947.5</v>
      </c>
      <c r="U29" s="38">
        <f t="shared" si="9"/>
        <v>22396.3</v>
      </c>
      <c r="V29" s="39">
        <f t="shared" si="9"/>
        <v>20450.7</v>
      </c>
      <c r="W29" s="37">
        <f t="shared" si="9"/>
        <v>16819.8</v>
      </c>
      <c r="X29" s="38">
        <f t="shared" si="9"/>
        <v>13817.499999999998</v>
      </c>
      <c r="Y29" s="38">
        <f t="shared" si="9"/>
        <v>13536.099999999999</v>
      </c>
      <c r="Z29" s="39">
        <f t="shared" si="9"/>
        <v>17881.100000000002</v>
      </c>
      <c r="AA29" s="37">
        <f t="shared" si="9"/>
        <v>18003.900000000001</v>
      </c>
      <c r="AB29" s="38">
        <f t="shared" si="9"/>
        <v>20256.699999999997</v>
      </c>
      <c r="AC29" s="38">
        <f t="shared" si="9"/>
        <v>19794</v>
      </c>
      <c r="AD29" s="39">
        <f t="shared" si="9"/>
        <v>19493.599999999999</v>
      </c>
      <c r="AE29" s="37">
        <f t="shared" si="9"/>
        <v>20994.899999999998</v>
      </c>
      <c r="AF29" s="38">
        <f t="shared" si="9"/>
        <v>22090.400000000001</v>
      </c>
      <c r="AG29" s="38">
        <f t="shared" si="9"/>
        <v>23190.600000000002</v>
      </c>
      <c r="AH29" s="39">
        <f t="shared" si="9"/>
        <v>22829.3</v>
      </c>
      <c r="AI29" s="37">
        <f t="shared" si="9"/>
        <v>23869.7</v>
      </c>
      <c r="AJ29" s="38">
        <f t="shared" si="9"/>
        <v>24267.600000000002</v>
      </c>
      <c r="AK29" s="38">
        <f t="shared" si="9"/>
        <v>24310.3</v>
      </c>
      <c r="AL29" s="39">
        <f t="shared" si="9"/>
        <v>23478.800000000003</v>
      </c>
      <c r="AM29" s="37">
        <f t="shared" si="9"/>
        <v>25072</v>
      </c>
      <c r="AN29" s="38">
        <f t="shared" si="9"/>
        <v>27761</v>
      </c>
      <c r="AO29" s="38">
        <f t="shared" si="9"/>
        <v>27344</v>
      </c>
      <c r="AP29" s="39">
        <f t="shared" si="9"/>
        <v>25721.299999999996</v>
      </c>
      <c r="AQ29" s="38">
        <f t="shared" si="9"/>
        <v>26569.7</v>
      </c>
      <c r="AR29" s="38">
        <f t="shared" si="9"/>
        <v>24427.600000000002</v>
      </c>
      <c r="AS29" s="38">
        <f t="shared" si="9"/>
        <v>24446.100000000002</v>
      </c>
      <c r="AT29" s="38">
        <f t="shared" si="9"/>
        <v>29465.1</v>
      </c>
      <c r="AU29" s="37">
        <f t="shared" ref="AU29:AZ29" si="10">AU19+AU22</f>
        <v>29135.700000000004</v>
      </c>
      <c r="AV29" s="38">
        <f t="shared" si="10"/>
        <v>28677</v>
      </c>
      <c r="AW29" s="38">
        <f t="shared" si="10"/>
        <v>28823.4</v>
      </c>
      <c r="AX29" s="38">
        <f t="shared" si="10"/>
        <v>31937.200000000001</v>
      </c>
      <c r="AY29" s="37">
        <f t="shared" si="10"/>
        <v>29977.199999999997</v>
      </c>
      <c r="AZ29" s="38">
        <f t="shared" si="10"/>
        <v>31315.200000000004</v>
      </c>
      <c r="BA29" s="38">
        <f t="shared" ref="BA29:BC29" si="11">BA19+BA22</f>
        <v>32063.300000000003</v>
      </c>
      <c r="BB29" s="38">
        <f t="shared" si="11"/>
        <v>33824.400000000001</v>
      </c>
      <c r="BC29" s="38">
        <f t="shared" si="11"/>
        <v>40196.1</v>
      </c>
      <c r="BD29" s="38">
        <f t="shared" ref="BD29:BE29" si="12">BD19+BD22</f>
        <v>53077.600000000006</v>
      </c>
      <c r="BE29" s="38">
        <f t="shared" si="12"/>
        <v>56084.1</v>
      </c>
      <c r="BF29" s="38">
        <f t="shared" ref="BF29" si="13">BF19+BF22</f>
        <v>54933.5</v>
      </c>
    </row>
    <row r="30" spans="1:58">
      <c r="A30" s="13"/>
      <c r="B30" s="13"/>
    </row>
    <row r="31" spans="1:58">
      <c r="A31" s="13"/>
      <c r="B31" s="13"/>
    </row>
    <row r="32" spans="1:58">
      <c r="A32" s="13"/>
      <c r="B32" s="13"/>
    </row>
    <row r="33" spans="1:2">
      <c r="A33" s="13"/>
      <c r="B33" s="13"/>
    </row>
    <row r="34" spans="1:2">
      <c r="A34" s="13"/>
      <c r="B34" s="13"/>
    </row>
    <row r="35" spans="1:2">
      <c r="A35" s="13"/>
      <c r="B35" s="13"/>
    </row>
    <row r="36" spans="1:2">
      <c r="A36" s="13"/>
      <c r="B36" s="13"/>
    </row>
    <row r="37" spans="1:2">
      <c r="A37" s="13"/>
      <c r="B37" s="13"/>
    </row>
    <row r="38" spans="1:2">
      <c r="A38" s="13"/>
      <c r="B38" s="13"/>
    </row>
    <row r="39" spans="1:2">
      <c r="A39" s="13"/>
      <c r="B39" s="13"/>
    </row>
    <row r="40" spans="1:2">
      <c r="A40" s="13"/>
      <c r="B40" s="13"/>
    </row>
    <row r="41" spans="1:2">
      <c r="A41" s="13"/>
      <c r="B41" s="13"/>
    </row>
    <row r="42" spans="1:2">
      <c r="A42" s="13"/>
      <c r="B42" s="13"/>
    </row>
    <row r="43" spans="1:2">
      <c r="A43" s="13"/>
      <c r="B43" s="13"/>
    </row>
    <row r="44" spans="1:2">
      <c r="A44" s="13"/>
      <c r="B44" s="13"/>
    </row>
    <row r="45" spans="1:2">
      <c r="A45" s="13"/>
      <c r="B45" s="13"/>
    </row>
    <row r="46" spans="1:2">
      <c r="A46" s="13"/>
      <c r="B46" s="13"/>
    </row>
  </sheetData>
  <mergeCells count="16">
    <mergeCell ref="BC2:BF2"/>
    <mergeCell ref="AY2:BB2"/>
    <mergeCell ref="AU2:AX2"/>
    <mergeCell ref="O2:R2"/>
    <mergeCell ref="A2:A3"/>
    <mergeCell ref="B2:B3"/>
    <mergeCell ref="C2:F2"/>
    <mergeCell ref="G2:J2"/>
    <mergeCell ref="K2:N2"/>
    <mergeCell ref="AQ2:AT2"/>
    <mergeCell ref="S2:V2"/>
    <mergeCell ref="W2:Z2"/>
    <mergeCell ref="AA2:AD2"/>
    <mergeCell ref="AE2:AH2"/>
    <mergeCell ref="AI2:AL2"/>
    <mergeCell ref="AM2:AP2"/>
  </mergeCells>
  <printOptions horizontalCentered="1"/>
  <pageMargins left="0.23622047244094491" right="0.23622047244094491" top="0.74803149606299213" bottom="0.74803149606299213" header="0.31496062992125984" footer="0.31496062992125984"/>
  <pageSetup paperSize="9" scale="29" orientation="landscape" r:id="rId1"/>
  <headerFooter alignWithMargins="0">
    <oddHeader xml:space="preserve">&amp;C&amp;"Times New Roman,Kursywa"&amp;12
</oddHeader>
  </headerFooter>
  <ignoredErrors>
    <ignoredError sqref="C17:AP17" formulaRange="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F26"/>
  <sheetViews>
    <sheetView showGridLines="0" view="pageBreakPreview" topLeftCell="A2" zoomScaleNormal="100" zoomScaleSheetLayoutView="100" zoomScalePageLayoutView="80" workbookViewId="0">
      <pane xSplit="2" ySplit="4" topLeftCell="C6" activePane="bottomRight" state="frozen"/>
      <selection activeCell="A2" sqref="A2"/>
      <selection pane="topRight" activeCell="C2" sqref="C2"/>
      <selection pane="bottomLeft" activeCell="A6" sqref="A6"/>
      <selection pane="bottomRight" activeCell="BC3" sqref="BC3:BF3"/>
    </sheetView>
  </sheetViews>
  <sheetFormatPr defaultColWidth="9.140625" defaultRowHeight="13.5" outlineLevelCol="1"/>
  <cols>
    <col min="1" max="1" width="48.42578125" style="160" customWidth="1" outlineLevel="1"/>
    <col min="2" max="2" width="42.7109375" style="160" customWidth="1"/>
    <col min="3" max="41" width="2.28515625" style="160" hidden="1" customWidth="1"/>
    <col min="42" max="16384" width="9.140625" style="160"/>
  </cols>
  <sheetData>
    <row r="2" spans="1:58">
      <c r="A2" s="53" t="s">
        <v>424</v>
      </c>
      <c r="B2" s="53" t="s">
        <v>425</v>
      </c>
      <c r="C2" s="53"/>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c r="AK2" s="53"/>
      <c r="AL2" s="53"/>
      <c r="AM2" s="53"/>
      <c r="AN2" s="53"/>
      <c r="AO2" s="53"/>
      <c r="AY2" s="350" t="s">
        <v>901</v>
      </c>
      <c r="AZ2" s="172"/>
      <c r="BA2" s="172"/>
      <c r="BB2" s="172"/>
    </row>
    <row r="3" spans="1:58" ht="15.75">
      <c r="A3" s="707" t="s">
        <v>272</v>
      </c>
      <c r="B3" s="707" t="s">
        <v>120</v>
      </c>
      <c r="C3" s="161"/>
      <c r="D3" s="161"/>
      <c r="E3" s="161"/>
      <c r="F3" s="161"/>
      <c r="G3" s="161"/>
      <c r="H3" s="161"/>
      <c r="I3" s="161"/>
      <c r="J3" s="161"/>
      <c r="K3" s="161"/>
      <c r="L3" s="161"/>
      <c r="M3" s="161"/>
      <c r="N3" s="161"/>
      <c r="O3" s="161"/>
      <c r="P3" s="161"/>
      <c r="Q3" s="161"/>
      <c r="R3" s="161"/>
      <c r="S3" s="161"/>
      <c r="T3" s="161"/>
      <c r="U3" s="161"/>
      <c r="V3" s="161"/>
      <c r="W3" s="161"/>
      <c r="X3" s="161"/>
      <c r="Y3" s="161"/>
      <c r="Z3" s="161"/>
      <c r="AA3" s="161"/>
      <c r="AB3" s="161"/>
      <c r="AC3" s="161"/>
      <c r="AD3" s="161"/>
      <c r="AE3" s="161"/>
      <c r="AF3" s="161"/>
      <c r="AG3" s="161"/>
      <c r="AH3" s="161"/>
      <c r="AI3" s="161"/>
      <c r="AJ3" s="161"/>
      <c r="AK3" s="161"/>
      <c r="AL3" s="161"/>
      <c r="AM3" s="161"/>
      <c r="AN3" s="161"/>
      <c r="AO3" s="161"/>
      <c r="AP3" s="162">
        <v>2016</v>
      </c>
      <c r="AQ3" s="708">
        <v>2017</v>
      </c>
      <c r="AR3" s="708"/>
      <c r="AS3" s="708"/>
      <c r="AT3" s="708"/>
      <c r="AU3" s="709">
        <v>2018</v>
      </c>
      <c r="AV3" s="710"/>
      <c r="AW3" s="710"/>
      <c r="AX3" s="685"/>
      <c r="AY3" s="710">
        <v>2019</v>
      </c>
      <c r="AZ3" s="710"/>
      <c r="BA3" s="710"/>
      <c r="BB3" s="683"/>
      <c r="BC3" s="705">
        <v>2020</v>
      </c>
      <c r="BD3" s="706"/>
      <c r="BE3" s="706"/>
      <c r="BF3" s="681"/>
    </row>
    <row r="4" spans="1:58" ht="15.75">
      <c r="A4" s="640"/>
      <c r="B4" s="640"/>
      <c r="C4" s="84"/>
      <c r="D4" s="84"/>
      <c r="E4" s="84"/>
      <c r="F4" s="84"/>
      <c r="G4" s="84"/>
      <c r="H4" s="84"/>
      <c r="I4" s="84"/>
      <c r="J4" s="84"/>
      <c r="K4" s="84"/>
      <c r="L4" s="84"/>
      <c r="M4" s="84"/>
      <c r="N4" s="84"/>
      <c r="O4" s="84"/>
      <c r="P4" s="84"/>
      <c r="Q4" s="84"/>
      <c r="R4" s="84"/>
      <c r="S4" s="84"/>
      <c r="T4" s="84"/>
      <c r="U4" s="84"/>
      <c r="V4" s="84"/>
      <c r="W4" s="84"/>
      <c r="X4" s="84"/>
      <c r="Y4" s="84"/>
      <c r="Z4" s="84"/>
      <c r="AA4" s="84"/>
      <c r="AB4" s="84"/>
      <c r="AC4" s="84"/>
      <c r="AD4" s="84"/>
      <c r="AE4" s="84"/>
      <c r="AF4" s="84"/>
      <c r="AG4" s="84"/>
      <c r="AH4" s="84"/>
      <c r="AI4" s="84"/>
      <c r="AJ4" s="84"/>
      <c r="AK4" s="84"/>
      <c r="AL4" s="84"/>
      <c r="AM4" s="84"/>
      <c r="AN4" s="84"/>
      <c r="AO4" s="84"/>
      <c r="AP4" s="163" t="s">
        <v>152</v>
      </c>
      <c r="AQ4" s="164" t="s">
        <v>149</v>
      </c>
      <c r="AR4" s="164" t="s">
        <v>150</v>
      </c>
      <c r="AS4" s="164" t="s">
        <v>151</v>
      </c>
      <c r="AT4" s="164" t="s">
        <v>152</v>
      </c>
      <c r="AU4" s="165" t="s">
        <v>149</v>
      </c>
      <c r="AV4" s="164" t="s">
        <v>150</v>
      </c>
      <c r="AW4" s="164" t="s">
        <v>151</v>
      </c>
      <c r="AX4" s="396" t="s">
        <v>152</v>
      </c>
      <c r="AY4" s="397" t="s">
        <v>149</v>
      </c>
      <c r="AZ4" s="164" t="s">
        <v>150</v>
      </c>
      <c r="BA4" s="164" t="s">
        <v>151</v>
      </c>
      <c r="BB4" s="164" t="s">
        <v>152</v>
      </c>
      <c r="BC4" s="165" t="s">
        <v>149</v>
      </c>
      <c r="BD4" s="164" t="s">
        <v>150</v>
      </c>
      <c r="BE4" s="164" t="s">
        <v>151</v>
      </c>
      <c r="BF4" s="164" t="s">
        <v>152</v>
      </c>
    </row>
    <row r="5" spans="1:58" s="295" customFormat="1" ht="11.25">
      <c r="A5" s="166" t="s">
        <v>154</v>
      </c>
      <c r="B5" s="166" t="s">
        <v>11</v>
      </c>
      <c r="C5" s="166"/>
      <c r="D5" s="166"/>
      <c r="E5" s="166"/>
      <c r="F5" s="166"/>
      <c r="G5" s="166"/>
      <c r="H5" s="166"/>
      <c r="I5" s="166"/>
      <c r="J5" s="166"/>
      <c r="K5" s="166"/>
      <c r="L5" s="166"/>
      <c r="M5" s="166"/>
      <c r="N5" s="166"/>
      <c r="O5" s="166"/>
      <c r="P5" s="166"/>
      <c r="Q5" s="166"/>
      <c r="R5" s="166"/>
      <c r="S5" s="166"/>
      <c r="T5" s="166"/>
      <c r="U5" s="166"/>
      <c r="V5" s="166"/>
      <c r="W5" s="166"/>
      <c r="X5" s="166"/>
      <c r="Y5" s="166"/>
      <c r="Z5" s="166"/>
      <c r="AA5" s="166"/>
      <c r="AB5" s="166"/>
      <c r="AC5" s="166"/>
      <c r="AD5" s="166"/>
      <c r="AE5" s="166"/>
      <c r="AF5" s="166"/>
      <c r="AG5" s="166"/>
      <c r="AH5" s="166"/>
      <c r="AI5" s="166"/>
      <c r="AJ5" s="166"/>
      <c r="AK5" s="166"/>
      <c r="AL5" s="166"/>
      <c r="AM5" s="166"/>
      <c r="AN5" s="166"/>
      <c r="AO5" s="166"/>
      <c r="AP5" s="294"/>
      <c r="AQ5" s="294"/>
      <c r="AR5" s="294"/>
      <c r="AS5" s="294"/>
      <c r="AT5" s="294"/>
      <c r="AU5" s="294"/>
      <c r="AV5" s="294"/>
      <c r="AW5" s="294"/>
      <c r="AX5" s="398"/>
      <c r="AY5" s="399"/>
      <c r="AZ5" s="294"/>
      <c r="BA5" s="294"/>
      <c r="BB5" s="294"/>
      <c r="BC5" s="294"/>
      <c r="BD5" s="294"/>
      <c r="BE5" s="294"/>
      <c r="BF5" s="294"/>
    </row>
    <row r="6" spans="1:58" s="124" customFormat="1" ht="11.25">
      <c r="A6" s="167" t="s">
        <v>637</v>
      </c>
      <c r="B6" s="167" t="s">
        <v>638</v>
      </c>
      <c r="C6" s="167"/>
      <c r="D6" s="167"/>
      <c r="E6" s="167"/>
      <c r="F6" s="167"/>
      <c r="G6" s="167"/>
      <c r="H6" s="167"/>
      <c r="I6" s="167"/>
      <c r="J6" s="167"/>
      <c r="K6" s="167"/>
      <c r="L6" s="167"/>
      <c r="M6" s="167"/>
      <c r="N6" s="167"/>
      <c r="O6" s="167"/>
      <c r="P6" s="167"/>
      <c r="Q6" s="167"/>
      <c r="R6" s="167"/>
      <c r="S6" s="167"/>
      <c r="T6" s="167"/>
      <c r="U6" s="167"/>
      <c r="V6" s="167"/>
      <c r="W6" s="167"/>
      <c r="X6" s="167"/>
      <c r="Y6" s="167"/>
      <c r="Z6" s="167"/>
      <c r="AA6" s="167"/>
      <c r="AB6" s="167"/>
      <c r="AC6" s="167"/>
      <c r="AD6" s="167"/>
      <c r="AE6" s="167"/>
      <c r="AF6" s="167"/>
      <c r="AG6" s="167"/>
      <c r="AH6" s="167"/>
      <c r="AI6" s="167"/>
      <c r="AJ6" s="167"/>
      <c r="AK6" s="167"/>
      <c r="AL6" s="167"/>
      <c r="AM6" s="167"/>
      <c r="AN6" s="167"/>
      <c r="AO6" s="167"/>
      <c r="AP6" s="104">
        <f t="shared" ref="AP6:AU6" si="0">SUM(AP8,AP22)</f>
        <v>95825.400000000009</v>
      </c>
      <c r="AQ6" s="102">
        <f t="shared" si="0"/>
        <v>96620.700000000012</v>
      </c>
      <c r="AR6" s="102">
        <f t="shared" si="0"/>
        <v>97708.800000000003</v>
      </c>
      <c r="AS6" s="102">
        <f t="shared" si="0"/>
        <v>98459.8</v>
      </c>
      <c r="AT6" s="102">
        <f t="shared" si="0"/>
        <v>104503.3</v>
      </c>
      <c r="AU6" s="106">
        <f t="shared" si="0"/>
        <v>104662.1</v>
      </c>
      <c r="AV6" s="102">
        <f t="shared" ref="AV6:AW6" si="1">SUM(AV8,AV22)</f>
        <v>109174.09999999999</v>
      </c>
      <c r="AW6" s="102">
        <f t="shared" si="1"/>
        <v>110205</v>
      </c>
      <c r="AX6" s="400">
        <f t="shared" ref="AX6" si="2">SUM(AX8,AX22)</f>
        <v>117682.5</v>
      </c>
      <c r="AY6" s="401">
        <f t="shared" ref="AY6:AZ6" si="3">SUM(AY8,AY22)</f>
        <v>120413.99999999999</v>
      </c>
      <c r="AZ6" s="102">
        <f t="shared" si="3"/>
        <v>122992.00000000001</v>
      </c>
      <c r="BA6" s="102">
        <f t="shared" ref="BA6:BC6" si="4">SUM(BA8,BA22)</f>
        <v>125786.29999999999</v>
      </c>
      <c r="BB6" s="102">
        <f t="shared" si="4"/>
        <v>130473.49999999999</v>
      </c>
      <c r="BC6" s="106">
        <f t="shared" si="4"/>
        <v>139648.69999999998</v>
      </c>
      <c r="BD6" s="102">
        <f t="shared" ref="BD6:BE6" si="5">SUM(BD8,BD22)</f>
        <v>150979.29999999999</v>
      </c>
      <c r="BE6" s="102">
        <f t="shared" si="5"/>
        <v>154399.79999999999</v>
      </c>
      <c r="BF6" s="102">
        <f t="shared" ref="BF6" si="6">SUM(BF8,BF22)</f>
        <v>151028.5</v>
      </c>
    </row>
    <row r="7" spans="1:58" s="124" customFormat="1" ht="6" customHeight="1">
      <c r="A7" s="168"/>
      <c r="B7" s="168"/>
      <c r="C7" s="168"/>
      <c r="D7" s="168"/>
      <c r="E7" s="168"/>
      <c r="F7" s="168"/>
      <c r="G7" s="168"/>
      <c r="H7" s="168"/>
      <c r="I7" s="168"/>
      <c r="J7" s="168"/>
      <c r="K7" s="168"/>
      <c r="L7" s="168"/>
      <c r="M7" s="168"/>
      <c r="N7" s="168"/>
      <c r="O7" s="168"/>
      <c r="P7" s="168"/>
      <c r="Q7" s="168"/>
      <c r="R7" s="168"/>
      <c r="S7" s="168"/>
      <c r="T7" s="168"/>
      <c r="U7" s="168"/>
      <c r="V7" s="168"/>
      <c r="W7" s="168"/>
      <c r="X7" s="168"/>
      <c r="Y7" s="168"/>
      <c r="Z7" s="168"/>
      <c r="AA7" s="168"/>
      <c r="AB7" s="168"/>
      <c r="AC7" s="168"/>
      <c r="AD7" s="168"/>
      <c r="AE7" s="168"/>
      <c r="AF7" s="168"/>
      <c r="AG7" s="168"/>
      <c r="AH7" s="168"/>
      <c r="AI7" s="168"/>
      <c r="AJ7" s="168"/>
      <c r="AK7" s="168"/>
      <c r="AL7" s="168"/>
      <c r="AM7" s="168"/>
      <c r="AN7" s="168"/>
      <c r="AO7" s="168"/>
      <c r="AP7" s="105"/>
      <c r="AQ7" s="103"/>
      <c r="AR7" s="103"/>
      <c r="AS7" s="103"/>
      <c r="AT7" s="103"/>
      <c r="AU7" s="107"/>
      <c r="AV7" s="103"/>
      <c r="AW7" s="103"/>
      <c r="AX7" s="402"/>
      <c r="AY7" s="403"/>
      <c r="AZ7" s="103"/>
      <c r="BA7" s="103"/>
      <c r="BB7" s="103"/>
      <c r="BC7" s="107"/>
      <c r="BD7" s="103"/>
      <c r="BE7" s="103"/>
      <c r="BF7" s="103"/>
    </row>
    <row r="8" spans="1:58" s="124" customFormat="1" ht="11.25">
      <c r="A8" s="167" t="s">
        <v>639</v>
      </c>
      <c r="B8" s="167" t="s">
        <v>114</v>
      </c>
      <c r="C8" s="167"/>
      <c r="D8" s="167"/>
      <c r="E8" s="167"/>
      <c r="F8" s="167"/>
      <c r="G8" s="167"/>
      <c r="H8" s="167"/>
      <c r="I8" s="167"/>
      <c r="J8" s="167"/>
      <c r="K8" s="167"/>
      <c r="L8" s="167"/>
      <c r="M8" s="167"/>
      <c r="N8" s="167"/>
      <c r="O8" s="167"/>
      <c r="P8" s="167"/>
      <c r="Q8" s="167"/>
      <c r="R8" s="167"/>
      <c r="S8" s="167"/>
      <c r="T8" s="167"/>
      <c r="U8" s="167"/>
      <c r="V8" s="167"/>
      <c r="W8" s="167"/>
      <c r="X8" s="167"/>
      <c r="Y8" s="167"/>
      <c r="Z8" s="167"/>
      <c r="AA8" s="167"/>
      <c r="AB8" s="167"/>
      <c r="AC8" s="167"/>
      <c r="AD8" s="167"/>
      <c r="AE8" s="167"/>
      <c r="AF8" s="167"/>
      <c r="AG8" s="167"/>
      <c r="AH8" s="167"/>
      <c r="AI8" s="167"/>
      <c r="AJ8" s="167"/>
      <c r="AK8" s="167"/>
      <c r="AL8" s="167"/>
      <c r="AM8" s="167"/>
      <c r="AN8" s="167"/>
      <c r="AO8" s="167"/>
      <c r="AP8" s="104">
        <f t="shared" ref="AP8:AU8" si="7">SUM(AP9:AP11)</f>
        <v>94048.400000000009</v>
      </c>
      <c r="AQ8" s="102">
        <f t="shared" si="7"/>
        <v>95064.1</v>
      </c>
      <c r="AR8" s="102">
        <f t="shared" si="7"/>
        <v>95954.1</v>
      </c>
      <c r="AS8" s="102">
        <f t="shared" si="7"/>
        <v>96941</v>
      </c>
      <c r="AT8" s="102">
        <f t="shared" si="7"/>
        <v>102849.1</v>
      </c>
      <c r="AU8" s="106">
        <f t="shared" si="7"/>
        <v>102782.3</v>
      </c>
      <c r="AV8" s="102">
        <f t="shared" ref="AV8:AW8" si="8">SUM(AV9:AV11)</f>
        <v>107467.7</v>
      </c>
      <c r="AW8" s="102">
        <f t="shared" si="8"/>
        <v>108530.5</v>
      </c>
      <c r="AX8" s="400">
        <f t="shared" ref="AX8" si="9">SUM(AX9:AX11)</f>
        <v>115908</v>
      </c>
      <c r="AY8" s="401">
        <f t="shared" ref="AY8:AZ8" si="10">SUM(AY9:AY11)</f>
        <v>118653.09999999999</v>
      </c>
      <c r="AZ8" s="102">
        <f t="shared" si="10"/>
        <v>121131.20000000001</v>
      </c>
      <c r="BA8" s="102">
        <f t="shared" ref="BA8:BC8" si="11">SUM(BA9:BA11)</f>
        <v>123715.9</v>
      </c>
      <c r="BB8" s="102">
        <f t="shared" si="11"/>
        <v>128800.09999999999</v>
      </c>
      <c r="BC8" s="106">
        <f t="shared" si="11"/>
        <v>137489.4</v>
      </c>
      <c r="BD8" s="102">
        <f t="shared" ref="BD8:BE8" si="12">SUM(BD9:BD11)</f>
        <v>149301</v>
      </c>
      <c r="BE8" s="102">
        <f t="shared" si="12"/>
        <v>152724.19999999998</v>
      </c>
      <c r="BF8" s="102">
        <f t="shared" ref="BF8" si="13">SUM(BF9:BF11)</f>
        <v>149269.9</v>
      </c>
    </row>
    <row r="9" spans="1:58" s="586" customFormat="1" ht="11.25">
      <c r="A9" s="580" t="s">
        <v>593</v>
      </c>
      <c r="B9" s="580" t="s">
        <v>594</v>
      </c>
      <c r="C9" s="580"/>
      <c r="D9" s="580"/>
      <c r="E9" s="580"/>
      <c r="F9" s="580"/>
      <c r="G9" s="580"/>
      <c r="H9" s="580"/>
      <c r="I9" s="580"/>
      <c r="J9" s="580"/>
      <c r="K9" s="580"/>
      <c r="L9" s="580"/>
      <c r="M9" s="580"/>
      <c r="N9" s="580"/>
      <c r="O9" s="580"/>
      <c r="P9" s="580"/>
      <c r="Q9" s="580"/>
      <c r="R9" s="580"/>
      <c r="S9" s="580"/>
      <c r="T9" s="580"/>
      <c r="U9" s="580"/>
      <c r="V9" s="580"/>
      <c r="W9" s="580"/>
      <c r="X9" s="580"/>
      <c r="Y9" s="580"/>
      <c r="Z9" s="580"/>
      <c r="AA9" s="580"/>
      <c r="AB9" s="580"/>
      <c r="AC9" s="580"/>
      <c r="AD9" s="580"/>
      <c r="AE9" s="580"/>
      <c r="AF9" s="580"/>
      <c r="AG9" s="580"/>
      <c r="AH9" s="580"/>
      <c r="AI9" s="580"/>
      <c r="AJ9" s="580"/>
      <c r="AK9" s="580"/>
      <c r="AL9" s="580"/>
      <c r="AM9" s="580"/>
      <c r="AN9" s="580"/>
      <c r="AO9" s="580"/>
      <c r="AP9" s="581">
        <v>63548</v>
      </c>
      <c r="AQ9" s="582">
        <v>64744</v>
      </c>
      <c r="AR9" s="582">
        <v>65081.1</v>
      </c>
      <c r="AS9" s="582">
        <v>65488.6</v>
      </c>
      <c r="AT9" s="582">
        <v>67918.600000000006</v>
      </c>
      <c r="AU9" s="583">
        <v>71264.800000000003</v>
      </c>
      <c r="AV9" s="582">
        <v>72253.5</v>
      </c>
      <c r="AW9" s="582">
        <v>73998.899999999994</v>
      </c>
      <c r="AX9" s="584">
        <v>78255.5</v>
      </c>
      <c r="AY9" s="585">
        <v>80732.7</v>
      </c>
      <c r="AZ9" s="582">
        <v>81911.5</v>
      </c>
      <c r="BA9" s="582">
        <v>84106.9</v>
      </c>
      <c r="BB9" s="582">
        <v>87643.7</v>
      </c>
      <c r="BC9" s="583">
        <v>93434.1</v>
      </c>
      <c r="BD9" s="582">
        <v>99065.9</v>
      </c>
      <c r="BE9" s="582">
        <v>99145.9</v>
      </c>
      <c r="BF9" s="582">
        <v>102920</v>
      </c>
    </row>
    <row r="10" spans="1:58" s="586" customFormat="1" ht="11.25">
      <c r="A10" s="580" t="s">
        <v>595</v>
      </c>
      <c r="B10" s="580" t="s">
        <v>596</v>
      </c>
      <c r="C10" s="580"/>
      <c r="D10" s="580"/>
      <c r="E10" s="580"/>
      <c r="F10" s="580"/>
      <c r="G10" s="580"/>
      <c r="H10" s="580"/>
      <c r="I10" s="580"/>
      <c r="J10" s="580"/>
      <c r="K10" s="580"/>
      <c r="L10" s="580"/>
      <c r="M10" s="580"/>
      <c r="N10" s="580"/>
      <c r="O10" s="580"/>
      <c r="P10" s="580"/>
      <c r="Q10" s="580"/>
      <c r="R10" s="580"/>
      <c r="S10" s="580"/>
      <c r="T10" s="580"/>
      <c r="U10" s="580"/>
      <c r="V10" s="580"/>
      <c r="W10" s="580"/>
      <c r="X10" s="580"/>
      <c r="Y10" s="580"/>
      <c r="Z10" s="580"/>
      <c r="AA10" s="580"/>
      <c r="AB10" s="580"/>
      <c r="AC10" s="580"/>
      <c r="AD10" s="580"/>
      <c r="AE10" s="580"/>
      <c r="AF10" s="580"/>
      <c r="AG10" s="580"/>
      <c r="AH10" s="580"/>
      <c r="AI10" s="580"/>
      <c r="AJ10" s="580"/>
      <c r="AK10" s="580"/>
      <c r="AL10" s="580"/>
      <c r="AM10" s="580"/>
      <c r="AN10" s="580"/>
      <c r="AO10" s="580"/>
      <c r="AP10" s="581">
        <v>28759.600000000002</v>
      </c>
      <c r="AQ10" s="582">
        <v>27747.599999999999</v>
      </c>
      <c r="AR10" s="582">
        <v>29117.4</v>
      </c>
      <c r="AS10" s="582">
        <v>29151.1</v>
      </c>
      <c r="AT10" s="582">
        <v>33156.6</v>
      </c>
      <c r="AU10" s="583">
        <v>29779</v>
      </c>
      <c r="AV10" s="582">
        <v>33446.9</v>
      </c>
      <c r="AW10" s="582">
        <v>32719.8</v>
      </c>
      <c r="AX10" s="584">
        <v>35735</v>
      </c>
      <c r="AY10" s="585">
        <v>35548.5</v>
      </c>
      <c r="AZ10" s="582">
        <v>35857.599999999999</v>
      </c>
      <c r="BA10" s="582">
        <v>36685.1</v>
      </c>
      <c r="BB10" s="582">
        <v>36191.199999999997</v>
      </c>
      <c r="BC10" s="583">
        <v>41880.5</v>
      </c>
      <c r="BD10" s="582">
        <v>48100.3</v>
      </c>
      <c r="BE10" s="582">
        <v>50502.2</v>
      </c>
      <c r="BF10" s="582">
        <v>43454.5</v>
      </c>
    </row>
    <row r="11" spans="1:58" s="586" customFormat="1" ht="11.25">
      <c r="A11" s="580" t="s">
        <v>597</v>
      </c>
      <c r="B11" s="580" t="s">
        <v>598</v>
      </c>
      <c r="C11" s="580"/>
      <c r="D11" s="580"/>
      <c r="E11" s="580"/>
      <c r="F11" s="580"/>
      <c r="G11" s="580"/>
      <c r="H11" s="580"/>
      <c r="I11" s="580"/>
      <c r="J11" s="580"/>
      <c r="K11" s="580"/>
      <c r="L11" s="580"/>
      <c r="M11" s="580"/>
      <c r="N11" s="580"/>
      <c r="O11" s="580"/>
      <c r="P11" s="580"/>
      <c r="Q11" s="580"/>
      <c r="R11" s="580"/>
      <c r="S11" s="580"/>
      <c r="T11" s="580"/>
      <c r="U11" s="580"/>
      <c r="V11" s="580"/>
      <c r="W11" s="580"/>
      <c r="X11" s="580"/>
      <c r="Y11" s="580"/>
      <c r="Z11" s="580"/>
      <c r="AA11" s="580"/>
      <c r="AB11" s="580"/>
      <c r="AC11" s="580"/>
      <c r="AD11" s="580"/>
      <c r="AE11" s="580"/>
      <c r="AF11" s="580"/>
      <c r="AG11" s="580"/>
      <c r="AH11" s="580"/>
      <c r="AI11" s="580"/>
      <c r="AJ11" s="580"/>
      <c r="AK11" s="580"/>
      <c r="AL11" s="580"/>
      <c r="AM11" s="580"/>
      <c r="AN11" s="580"/>
      <c r="AO11" s="580"/>
      <c r="AP11" s="581">
        <v>1740.8</v>
      </c>
      <c r="AQ11" s="582">
        <v>2572.5</v>
      </c>
      <c r="AR11" s="582">
        <v>1755.6</v>
      </c>
      <c r="AS11" s="582">
        <v>2301.3000000000002</v>
      </c>
      <c r="AT11" s="582">
        <v>1773.9</v>
      </c>
      <c r="AU11" s="583">
        <v>1738.5</v>
      </c>
      <c r="AV11" s="582">
        <v>1767.3</v>
      </c>
      <c r="AW11" s="582">
        <v>1811.8</v>
      </c>
      <c r="AX11" s="584">
        <v>1917.5</v>
      </c>
      <c r="AY11" s="585">
        <v>2371.9</v>
      </c>
      <c r="AZ11" s="582">
        <v>3362.1</v>
      </c>
      <c r="BA11" s="582">
        <v>2923.9</v>
      </c>
      <c r="BB11" s="582">
        <v>4965.2000000000007</v>
      </c>
      <c r="BC11" s="583">
        <v>2174.8000000000002</v>
      </c>
      <c r="BD11" s="582">
        <v>2134.8000000000002</v>
      </c>
      <c r="BE11" s="582">
        <v>3076.1</v>
      </c>
      <c r="BF11" s="582">
        <v>2895.4</v>
      </c>
    </row>
    <row r="12" spans="1:58" s="586" customFormat="1" ht="11.25">
      <c r="A12" s="536" t="s">
        <v>640</v>
      </c>
      <c r="B12" s="536" t="s">
        <v>641</v>
      </c>
      <c r="C12" s="536"/>
      <c r="D12" s="536"/>
      <c r="E12" s="536"/>
      <c r="F12" s="536"/>
      <c r="G12" s="536"/>
      <c r="H12" s="536"/>
      <c r="I12" s="536"/>
      <c r="J12" s="536"/>
      <c r="K12" s="536"/>
      <c r="L12" s="536"/>
      <c r="M12" s="536"/>
      <c r="N12" s="536"/>
      <c r="O12" s="536"/>
      <c r="P12" s="536"/>
      <c r="Q12" s="536"/>
      <c r="R12" s="536"/>
      <c r="S12" s="536"/>
      <c r="T12" s="536"/>
      <c r="U12" s="536"/>
      <c r="V12" s="536"/>
      <c r="W12" s="536"/>
      <c r="X12" s="536"/>
      <c r="Y12" s="536"/>
      <c r="Z12" s="536"/>
      <c r="AA12" s="536"/>
      <c r="AB12" s="536"/>
      <c r="AC12" s="536"/>
      <c r="AD12" s="536"/>
      <c r="AE12" s="536"/>
      <c r="AF12" s="536"/>
      <c r="AG12" s="536"/>
      <c r="AH12" s="536"/>
      <c r="AI12" s="536"/>
      <c r="AJ12" s="536"/>
      <c r="AK12" s="536"/>
      <c r="AL12" s="536"/>
      <c r="AM12" s="536"/>
      <c r="AN12" s="536"/>
      <c r="AO12" s="536"/>
      <c r="AP12" s="587">
        <f t="shared" ref="AP12:AU12" si="14">SUM(AP13,AP17)</f>
        <v>94048.4</v>
      </c>
      <c r="AQ12" s="588">
        <f t="shared" si="14"/>
        <v>95064.1</v>
      </c>
      <c r="AR12" s="588">
        <f t="shared" si="14"/>
        <v>95954.1</v>
      </c>
      <c r="AS12" s="588">
        <f t="shared" si="14"/>
        <v>96941</v>
      </c>
      <c r="AT12" s="588">
        <f t="shared" si="14"/>
        <v>102849.1</v>
      </c>
      <c r="AU12" s="589">
        <f t="shared" si="14"/>
        <v>102782.3</v>
      </c>
      <c r="AV12" s="588">
        <f t="shared" ref="AV12:AW12" si="15">SUM(AV13,AV17)</f>
        <v>107467.70000000001</v>
      </c>
      <c r="AW12" s="588">
        <f t="shared" si="15"/>
        <v>108530.5</v>
      </c>
      <c r="AX12" s="590">
        <f t="shared" ref="AX12" si="16">SUM(AX13,AX17)</f>
        <v>115907.99999999999</v>
      </c>
      <c r="AY12" s="591">
        <f t="shared" ref="AY12:AZ12" si="17">SUM(AY13,AY17)</f>
        <v>118653.1</v>
      </c>
      <c r="AZ12" s="588">
        <f t="shared" si="17"/>
        <v>121131.2</v>
      </c>
      <c r="BA12" s="588">
        <f t="shared" ref="BA12:BC12" si="18">SUM(BA13,BA17)</f>
        <v>123715.90000000001</v>
      </c>
      <c r="BB12" s="588">
        <f t="shared" si="18"/>
        <v>128800.1</v>
      </c>
      <c r="BC12" s="589">
        <f t="shared" si="18"/>
        <v>137489.40000000002</v>
      </c>
      <c r="BD12" s="588">
        <f t="shared" ref="BD12:BE12" si="19">SUM(BD13,BD17)</f>
        <v>149301</v>
      </c>
      <c r="BE12" s="588">
        <f t="shared" si="19"/>
        <v>152724.20000000001</v>
      </c>
      <c r="BF12" s="588">
        <f t="shared" ref="BF12" si="20">SUM(BF13,BF17)</f>
        <v>149269.9</v>
      </c>
    </row>
    <row r="13" spans="1:58" s="586" customFormat="1" ht="11.25">
      <c r="A13" s="592" t="s">
        <v>601</v>
      </c>
      <c r="B13" s="592" t="s">
        <v>602</v>
      </c>
      <c r="C13" s="592"/>
      <c r="D13" s="592"/>
      <c r="E13" s="592"/>
      <c r="F13" s="592"/>
      <c r="G13" s="592"/>
      <c r="H13" s="592"/>
      <c r="I13" s="592"/>
      <c r="J13" s="592"/>
      <c r="K13" s="592"/>
      <c r="L13" s="592"/>
      <c r="M13" s="592"/>
      <c r="N13" s="592"/>
      <c r="O13" s="592"/>
      <c r="P13" s="592"/>
      <c r="Q13" s="592"/>
      <c r="R13" s="592"/>
      <c r="S13" s="592"/>
      <c r="T13" s="592"/>
      <c r="U13" s="592"/>
      <c r="V13" s="592"/>
      <c r="W13" s="592"/>
      <c r="X13" s="592"/>
      <c r="Y13" s="592"/>
      <c r="Z13" s="592"/>
      <c r="AA13" s="592"/>
      <c r="AB13" s="592"/>
      <c r="AC13" s="592"/>
      <c r="AD13" s="592"/>
      <c r="AE13" s="592"/>
      <c r="AF13" s="592"/>
      <c r="AG13" s="592"/>
      <c r="AH13" s="592"/>
      <c r="AI13" s="592"/>
      <c r="AJ13" s="592"/>
      <c r="AK13" s="592"/>
      <c r="AL13" s="592"/>
      <c r="AM13" s="592"/>
      <c r="AN13" s="592"/>
      <c r="AO13" s="592"/>
      <c r="AP13" s="587">
        <f t="shared" ref="AP13:AU13" si="21">SUM(AP14:AP16)</f>
        <v>30438.899999999998</v>
      </c>
      <c r="AQ13" s="588">
        <f t="shared" si="21"/>
        <v>30301.300000000003</v>
      </c>
      <c r="AR13" s="588">
        <f t="shared" si="21"/>
        <v>30739.699999999997</v>
      </c>
      <c r="AS13" s="588">
        <f t="shared" si="21"/>
        <v>31287.9</v>
      </c>
      <c r="AT13" s="588">
        <f t="shared" si="21"/>
        <v>34799.5</v>
      </c>
      <c r="AU13" s="589">
        <f t="shared" si="21"/>
        <v>31670.600000000002</v>
      </c>
      <c r="AV13" s="588">
        <f t="shared" ref="AV13:AW13" si="22">SUM(AV14:AV16)</f>
        <v>35119.200000000004</v>
      </c>
      <c r="AW13" s="588">
        <f t="shared" si="22"/>
        <v>34161.1</v>
      </c>
      <c r="AX13" s="590">
        <f t="shared" ref="AX13" si="23">SUM(AX14:AX16)</f>
        <v>37589.899999999994</v>
      </c>
      <c r="AY13" s="591">
        <f t="shared" ref="AY13:AZ13" si="24">SUM(AY14:AY16)</f>
        <v>44854.9</v>
      </c>
      <c r="AZ13" s="588">
        <f t="shared" si="24"/>
        <v>46486.100000000006</v>
      </c>
      <c r="BA13" s="588">
        <f t="shared" ref="BA13:BC13" si="25">SUM(BA14:BA16)</f>
        <v>47240.3</v>
      </c>
      <c r="BB13" s="588">
        <f t="shared" si="25"/>
        <v>49848.1</v>
      </c>
      <c r="BC13" s="589">
        <f t="shared" si="25"/>
        <v>52497.3</v>
      </c>
      <c r="BD13" s="588">
        <f t="shared" ref="BD13:BE13" si="26">SUM(BD14:BD16)</f>
        <v>61911.299999999996</v>
      </c>
      <c r="BE13" s="588">
        <f t="shared" si="26"/>
        <v>65293.3</v>
      </c>
      <c r="BF13" s="588">
        <f t="shared" ref="BF13" si="27">SUM(BF14:BF16)</f>
        <v>58755.400000000009</v>
      </c>
    </row>
    <row r="14" spans="1:58" s="586" customFormat="1" ht="11.25">
      <c r="A14" s="593" t="s">
        <v>642</v>
      </c>
      <c r="B14" s="593" t="s">
        <v>643</v>
      </c>
      <c r="C14" s="593"/>
      <c r="D14" s="593"/>
      <c r="E14" s="593"/>
      <c r="F14" s="593"/>
      <c r="G14" s="593"/>
      <c r="H14" s="593"/>
      <c r="I14" s="593"/>
      <c r="J14" s="593"/>
      <c r="K14" s="593"/>
      <c r="L14" s="593"/>
      <c r="M14" s="593"/>
      <c r="N14" s="593"/>
      <c r="O14" s="593"/>
      <c r="P14" s="593"/>
      <c r="Q14" s="593"/>
      <c r="R14" s="593"/>
      <c r="S14" s="593"/>
      <c r="T14" s="593"/>
      <c r="U14" s="593"/>
      <c r="V14" s="593"/>
      <c r="W14" s="593"/>
      <c r="X14" s="593"/>
      <c r="Y14" s="593"/>
      <c r="Z14" s="593"/>
      <c r="AA14" s="593"/>
      <c r="AB14" s="593"/>
      <c r="AC14" s="593"/>
      <c r="AD14" s="593"/>
      <c r="AE14" s="593"/>
      <c r="AF14" s="593"/>
      <c r="AG14" s="593"/>
      <c r="AH14" s="593"/>
      <c r="AI14" s="593"/>
      <c r="AJ14" s="593"/>
      <c r="AK14" s="593"/>
      <c r="AL14" s="593"/>
      <c r="AM14" s="593"/>
      <c r="AN14" s="593"/>
      <c r="AO14" s="593"/>
      <c r="AP14" s="581">
        <v>20094.899999999998</v>
      </c>
      <c r="AQ14" s="582">
        <v>19688.2</v>
      </c>
      <c r="AR14" s="582">
        <v>21513.199999999997</v>
      </c>
      <c r="AS14" s="582">
        <v>20662.099999999999</v>
      </c>
      <c r="AT14" s="582">
        <v>23605</v>
      </c>
      <c r="AU14" s="583">
        <v>20619.800000000003</v>
      </c>
      <c r="AV14" s="582">
        <v>23521.5</v>
      </c>
      <c r="AW14" s="582">
        <v>21993.3</v>
      </c>
      <c r="AX14" s="584">
        <v>25478.6</v>
      </c>
      <c r="AY14" s="585">
        <v>28041.200000000001</v>
      </c>
      <c r="AZ14" s="582">
        <v>28566.7</v>
      </c>
      <c r="BA14" s="582">
        <v>29598.6</v>
      </c>
      <c r="BB14" s="582">
        <v>34707.199999999997</v>
      </c>
      <c r="BC14" s="583">
        <v>36864.699999999997</v>
      </c>
      <c r="BD14" s="582">
        <v>45550.1</v>
      </c>
      <c r="BE14" s="582">
        <v>48310</v>
      </c>
      <c r="BF14" s="582">
        <v>45250.600000000006</v>
      </c>
    </row>
    <row r="15" spans="1:58" s="586" customFormat="1" ht="11.25">
      <c r="A15" s="593" t="s">
        <v>644</v>
      </c>
      <c r="B15" s="593" t="s">
        <v>645</v>
      </c>
      <c r="C15" s="593"/>
      <c r="D15" s="593"/>
      <c r="E15" s="593"/>
      <c r="F15" s="593"/>
      <c r="G15" s="593"/>
      <c r="H15" s="593"/>
      <c r="I15" s="593"/>
      <c r="J15" s="593"/>
      <c r="K15" s="593"/>
      <c r="L15" s="593"/>
      <c r="M15" s="593"/>
      <c r="N15" s="593"/>
      <c r="O15" s="593"/>
      <c r="P15" s="593"/>
      <c r="Q15" s="593"/>
      <c r="R15" s="593"/>
      <c r="S15" s="593"/>
      <c r="T15" s="593"/>
      <c r="U15" s="593"/>
      <c r="V15" s="593"/>
      <c r="W15" s="593"/>
      <c r="X15" s="593"/>
      <c r="Y15" s="593"/>
      <c r="Z15" s="593"/>
      <c r="AA15" s="593"/>
      <c r="AB15" s="593"/>
      <c r="AC15" s="593"/>
      <c r="AD15" s="593"/>
      <c r="AE15" s="593"/>
      <c r="AF15" s="593"/>
      <c r="AG15" s="593"/>
      <c r="AH15" s="593"/>
      <c r="AI15" s="593"/>
      <c r="AJ15" s="593"/>
      <c r="AK15" s="593"/>
      <c r="AL15" s="593"/>
      <c r="AM15" s="593"/>
      <c r="AN15" s="593"/>
      <c r="AO15" s="593"/>
      <c r="AP15" s="581">
        <v>8608.2999999999993</v>
      </c>
      <c r="AQ15" s="582">
        <v>7813.7000000000007</v>
      </c>
      <c r="AR15" s="582">
        <v>7599.0999999999995</v>
      </c>
      <c r="AS15" s="582">
        <v>8370.9</v>
      </c>
      <c r="AT15" s="582">
        <v>8553.8000000000011</v>
      </c>
      <c r="AU15" s="583">
        <v>8826.7000000000007</v>
      </c>
      <c r="AV15" s="582">
        <v>9157.1000000000022</v>
      </c>
      <c r="AW15" s="582">
        <v>9274.1</v>
      </c>
      <c r="AX15" s="584">
        <v>9969.2999999999993</v>
      </c>
      <c r="AY15" s="585">
        <v>12675.099999999999</v>
      </c>
      <c r="AZ15" s="582">
        <v>12478.6</v>
      </c>
      <c r="BA15" s="582">
        <v>13204.4</v>
      </c>
      <c r="BB15" s="582">
        <v>13513.1</v>
      </c>
      <c r="BC15" s="583">
        <v>14371.800000000001</v>
      </c>
      <c r="BD15" s="582">
        <v>15497.500000000002</v>
      </c>
      <c r="BE15" s="582">
        <v>16144.600000000002</v>
      </c>
      <c r="BF15" s="582">
        <v>12920.5</v>
      </c>
    </row>
    <row r="16" spans="1:58" s="586" customFormat="1" ht="11.25">
      <c r="A16" s="593" t="s">
        <v>646</v>
      </c>
      <c r="B16" s="593" t="s">
        <v>647</v>
      </c>
      <c r="C16" s="593"/>
      <c r="D16" s="593"/>
      <c r="E16" s="593"/>
      <c r="F16" s="593"/>
      <c r="G16" s="593"/>
      <c r="H16" s="593"/>
      <c r="I16" s="593"/>
      <c r="J16" s="593"/>
      <c r="K16" s="593"/>
      <c r="L16" s="593"/>
      <c r="M16" s="593"/>
      <c r="N16" s="593"/>
      <c r="O16" s="593"/>
      <c r="P16" s="593"/>
      <c r="Q16" s="593"/>
      <c r="R16" s="593"/>
      <c r="S16" s="593"/>
      <c r="T16" s="593"/>
      <c r="U16" s="593"/>
      <c r="V16" s="593"/>
      <c r="W16" s="593"/>
      <c r="X16" s="593"/>
      <c r="Y16" s="593"/>
      <c r="Z16" s="593"/>
      <c r="AA16" s="593"/>
      <c r="AB16" s="593"/>
      <c r="AC16" s="593"/>
      <c r="AD16" s="593"/>
      <c r="AE16" s="593"/>
      <c r="AF16" s="593"/>
      <c r="AG16" s="593"/>
      <c r="AH16" s="593"/>
      <c r="AI16" s="593"/>
      <c r="AJ16" s="593"/>
      <c r="AK16" s="593"/>
      <c r="AL16" s="593"/>
      <c r="AM16" s="593"/>
      <c r="AN16" s="593"/>
      <c r="AO16" s="593"/>
      <c r="AP16" s="581">
        <v>1735.7</v>
      </c>
      <c r="AQ16" s="582">
        <v>2799.4</v>
      </c>
      <c r="AR16" s="582">
        <v>1627.4</v>
      </c>
      <c r="AS16" s="582">
        <v>2254.8999999999996</v>
      </c>
      <c r="AT16" s="582">
        <v>2640.7</v>
      </c>
      <c r="AU16" s="583">
        <v>2224.1</v>
      </c>
      <c r="AV16" s="582">
        <v>2440.6</v>
      </c>
      <c r="AW16" s="582">
        <v>2893.7</v>
      </c>
      <c r="AX16" s="584">
        <v>2142</v>
      </c>
      <c r="AY16" s="585">
        <v>4138.6000000000004</v>
      </c>
      <c r="AZ16" s="582">
        <v>5440.8</v>
      </c>
      <c r="BA16" s="582">
        <v>4437.3</v>
      </c>
      <c r="BB16" s="582">
        <v>1627.8000000000002</v>
      </c>
      <c r="BC16" s="583">
        <v>1260.8</v>
      </c>
      <c r="BD16" s="582">
        <v>863.7</v>
      </c>
      <c r="BE16" s="582">
        <v>838.7</v>
      </c>
      <c r="BF16" s="582">
        <v>584.29999999999995</v>
      </c>
    </row>
    <row r="17" spans="1:58" s="586" customFormat="1" ht="11.25">
      <c r="A17" s="592" t="s">
        <v>613</v>
      </c>
      <c r="B17" s="592" t="s">
        <v>614</v>
      </c>
      <c r="C17" s="592"/>
      <c r="D17" s="592"/>
      <c r="E17" s="592"/>
      <c r="F17" s="592"/>
      <c r="G17" s="592"/>
      <c r="H17" s="592"/>
      <c r="I17" s="592"/>
      <c r="J17" s="592"/>
      <c r="K17" s="592"/>
      <c r="L17" s="592"/>
      <c r="M17" s="592"/>
      <c r="N17" s="592"/>
      <c r="O17" s="592"/>
      <c r="P17" s="592"/>
      <c r="Q17" s="592"/>
      <c r="R17" s="592"/>
      <c r="S17" s="592"/>
      <c r="T17" s="592"/>
      <c r="U17" s="592"/>
      <c r="V17" s="592"/>
      <c r="W17" s="592"/>
      <c r="X17" s="592"/>
      <c r="Y17" s="592"/>
      <c r="Z17" s="592"/>
      <c r="AA17" s="592"/>
      <c r="AB17" s="592"/>
      <c r="AC17" s="592"/>
      <c r="AD17" s="592"/>
      <c r="AE17" s="592"/>
      <c r="AF17" s="592"/>
      <c r="AG17" s="592"/>
      <c r="AH17" s="592"/>
      <c r="AI17" s="592"/>
      <c r="AJ17" s="592"/>
      <c r="AK17" s="592"/>
      <c r="AL17" s="592"/>
      <c r="AM17" s="592"/>
      <c r="AN17" s="592"/>
      <c r="AO17" s="592"/>
      <c r="AP17" s="587">
        <f t="shared" ref="AP17:AU17" si="28">SUM(AP18:AP20)</f>
        <v>63609.5</v>
      </c>
      <c r="AQ17" s="588">
        <f t="shared" si="28"/>
        <v>64762.799999999996</v>
      </c>
      <c r="AR17" s="588">
        <f t="shared" si="28"/>
        <v>65214.400000000001</v>
      </c>
      <c r="AS17" s="588">
        <f t="shared" si="28"/>
        <v>65653.100000000006</v>
      </c>
      <c r="AT17" s="588">
        <f t="shared" si="28"/>
        <v>68049.600000000006</v>
      </c>
      <c r="AU17" s="589">
        <f t="shared" si="28"/>
        <v>71111.7</v>
      </c>
      <c r="AV17" s="588">
        <f t="shared" ref="AV17:BC17" si="29">SUM(AV18:AV20)</f>
        <v>72348.5</v>
      </c>
      <c r="AW17" s="588">
        <f t="shared" si="29"/>
        <v>74369.399999999994</v>
      </c>
      <c r="AX17" s="590">
        <f t="shared" si="29"/>
        <v>78318.099999999991</v>
      </c>
      <c r="AY17" s="591">
        <f t="shared" si="29"/>
        <v>73798.2</v>
      </c>
      <c r="AZ17" s="588">
        <f t="shared" si="29"/>
        <v>74645.099999999991</v>
      </c>
      <c r="BA17" s="588">
        <f t="shared" si="29"/>
        <v>76475.600000000006</v>
      </c>
      <c r="BB17" s="588">
        <f t="shared" ref="BB17" si="30">SUM(BB18:BB20)</f>
        <v>78952</v>
      </c>
      <c r="BC17" s="589">
        <f t="shared" si="29"/>
        <v>84992.1</v>
      </c>
      <c r="BD17" s="588">
        <f t="shared" ref="BD17:BE17" si="31">SUM(BD18:BD20)</f>
        <v>87389.7</v>
      </c>
      <c r="BE17" s="588">
        <f t="shared" si="31"/>
        <v>87430.9</v>
      </c>
      <c r="BF17" s="588">
        <f t="shared" ref="BF17" si="32">SUM(BF18:BF20)</f>
        <v>90514.499999999985</v>
      </c>
    </row>
    <row r="18" spans="1:58" s="586" customFormat="1" ht="11.25">
      <c r="A18" s="593" t="s">
        <v>642</v>
      </c>
      <c r="B18" s="593" t="s">
        <v>643</v>
      </c>
      <c r="C18" s="593"/>
      <c r="D18" s="593"/>
      <c r="E18" s="593"/>
      <c r="F18" s="593"/>
      <c r="G18" s="593"/>
      <c r="H18" s="593"/>
      <c r="I18" s="593"/>
      <c r="J18" s="593"/>
      <c r="K18" s="593"/>
      <c r="L18" s="593"/>
      <c r="M18" s="593"/>
      <c r="N18" s="593"/>
      <c r="O18" s="593"/>
      <c r="P18" s="593"/>
      <c r="Q18" s="593"/>
      <c r="R18" s="593"/>
      <c r="S18" s="593"/>
      <c r="T18" s="593"/>
      <c r="U18" s="593"/>
      <c r="V18" s="593"/>
      <c r="W18" s="593"/>
      <c r="X18" s="593"/>
      <c r="Y18" s="593"/>
      <c r="Z18" s="593"/>
      <c r="AA18" s="593"/>
      <c r="AB18" s="593"/>
      <c r="AC18" s="593"/>
      <c r="AD18" s="593"/>
      <c r="AE18" s="593"/>
      <c r="AF18" s="593"/>
      <c r="AG18" s="593"/>
      <c r="AH18" s="593"/>
      <c r="AI18" s="593"/>
      <c r="AJ18" s="593"/>
      <c r="AK18" s="593"/>
      <c r="AL18" s="593"/>
      <c r="AM18" s="593"/>
      <c r="AN18" s="593"/>
      <c r="AO18" s="593"/>
      <c r="AP18" s="581">
        <v>11920.7</v>
      </c>
      <c r="AQ18" s="582">
        <v>12356.4</v>
      </c>
      <c r="AR18" s="582">
        <v>13169.9</v>
      </c>
      <c r="AS18" s="582">
        <v>13570.9</v>
      </c>
      <c r="AT18" s="582">
        <v>14792.000000000002</v>
      </c>
      <c r="AU18" s="583">
        <v>15061.2</v>
      </c>
      <c r="AV18" s="582">
        <v>16013.5</v>
      </c>
      <c r="AW18" s="582">
        <v>17080.099999999999</v>
      </c>
      <c r="AX18" s="584">
        <v>18051.199999999997</v>
      </c>
      <c r="AY18" s="585">
        <v>13740.4</v>
      </c>
      <c r="AZ18" s="582">
        <v>14488.699999999999</v>
      </c>
      <c r="BA18" s="582">
        <v>14954.7</v>
      </c>
      <c r="BB18" s="582">
        <v>15706.7</v>
      </c>
      <c r="BC18" s="583">
        <v>17720.599999999999</v>
      </c>
      <c r="BD18" s="582">
        <v>18942</v>
      </c>
      <c r="BE18" s="582">
        <v>20297.900000000001</v>
      </c>
      <c r="BF18" s="582">
        <v>22924.1</v>
      </c>
    </row>
    <row r="19" spans="1:58" s="586" customFormat="1" ht="11.25">
      <c r="A19" s="593" t="s">
        <v>644</v>
      </c>
      <c r="B19" s="593" t="s">
        <v>645</v>
      </c>
      <c r="C19" s="593"/>
      <c r="D19" s="593"/>
      <c r="E19" s="593"/>
      <c r="F19" s="593"/>
      <c r="G19" s="593"/>
      <c r="H19" s="593"/>
      <c r="I19" s="593"/>
      <c r="J19" s="593"/>
      <c r="K19" s="593"/>
      <c r="L19" s="593"/>
      <c r="M19" s="593"/>
      <c r="N19" s="593"/>
      <c r="O19" s="593"/>
      <c r="P19" s="593"/>
      <c r="Q19" s="593"/>
      <c r="R19" s="593"/>
      <c r="S19" s="593"/>
      <c r="T19" s="593"/>
      <c r="U19" s="593"/>
      <c r="V19" s="593"/>
      <c r="W19" s="593"/>
      <c r="X19" s="593"/>
      <c r="Y19" s="593"/>
      <c r="Z19" s="593"/>
      <c r="AA19" s="593"/>
      <c r="AB19" s="593"/>
      <c r="AC19" s="593"/>
      <c r="AD19" s="593"/>
      <c r="AE19" s="593"/>
      <c r="AF19" s="593"/>
      <c r="AG19" s="593"/>
      <c r="AH19" s="593"/>
      <c r="AI19" s="593"/>
      <c r="AJ19" s="593"/>
      <c r="AK19" s="593"/>
      <c r="AL19" s="593"/>
      <c r="AM19" s="593"/>
      <c r="AN19" s="593"/>
      <c r="AO19" s="593"/>
      <c r="AP19" s="581">
        <v>47872.3</v>
      </c>
      <c r="AQ19" s="582">
        <v>49023.899999999994</v>
      </c>
      <c r="AR19" s="582">
        <v>49179.5</v>
      </c>
      <c r="AS19" s="582">
        <v>49551.500000000007</v>
      </c>
      <c r="AT19" s="582">
        <v>49935.000000000007</v>
      </c>
      <c r="AU19" s="583">
        <v>53369.8</v>
      </c>
      <c r="AV19" s="582">
        <v>53784.800000000003</v>
      </c>
      <c r="AW19" s="582">
        <v>54848.9</v>
      </c>
      <c r="AX19" s="584">
        <v>57948.1</v>
      </c>
      <c r="AY19" s="585">
        <v>57778.5</v>
      </c>
      <c r="AZ19" s="582">
        <v>57652.399999999994</v>
      </c>
      <c r="BA19" s="582">
        <v>58951.3</v>
      </c>
      <c r="BB19" s="582">
        <v>60812</v>
      </c>
      <c r="BC19" s="583">
        <v>64941</v>
      </c>
      <c r="BD19" s="582">
        <v>66078.399999999994</v>
      </c>
      <c r="BE19" s="582">
        <v>65342.5</v>
      </c>
      <c r="BF19" s="582">
        <v>65896.2</v>
      </c>
    </row>
    <row r="20" spans="1:58" s="586" customFormat="1" ht="11.25">
      <c r="A20" s="593" t="s">
        <v>646</v>
      </c>
      <c r="B20" s="593" t="s">
        <v>647</v>
      </c>
      <c r="C20" s="593"/>
      <c r="D20" s="593"/>
      <c r="E20" s="593"/>
      <c r="F20" s="593"/>
      <c r="G20" s="593"/>
      <c r="H20" s="593"/>
      <c r="I20" s="593"/>
      <c r="J20" s="593"/>
      <c r="K20" s="593"/>
      <c r="L20" s="593"/>
      <c r="M20" s="593"/>
      <c r="N20" s="593"/>
      <c r="O20" s="593"/>
      <c r="P20" s="593"/>
      <c r="Q20" s="593"/>
      <c r="R20" s="593"/>
      <c r="S20" s="593"/>
      <c r="T20" s="593"/>
      <c r="U20" s="593"/>
      <c r="V20" s="593"/>
      <c r="W20" s="593"/>
      <c r="X20" s="593"/>
      <c r="Y20" s="593"/>
      <c r="Z20" s="593"/>
      <c r="AA20" s="593"/>
      <c r="AB20" s="593"/>
      <c r="AC20" s="593"/>
      <c r="AD20" s="593"/>
      <c r="AE20" s="593"/>
      <c r="AF20" s="593"/>
      <c r="AG20" s="593"/>
      <c r="AH20" s="593"/>
      <c r="AI20" s="593"/>
      <c r="AJ20" s="593"/>
      <c r="AK20" s="593"/>
      <c r="AL20" s="593"/>
      <c r="AM20" s="593"/>
      <c r="AN20" s="593"/>
      <c r="AO20" s="593"/>
      <c r="AP20" s="581">
        <v>3816.5</v>
      </c>
      <c r="AQ20" s="582">
        <v>3382.5</v>
      </c>
      <c r="AR20" s="582">
        <v>2864.9999999999995</v>
      </c>
      <c r="AS20" s="582">
        <v>2530.7000000000003</v>
      </c>
      <c r="AT20" s="582">
        <v>3322.6</v>
      </c>
      <c r="AU20" s="583">
        <v>2680.7</v>
      </c>
      <c r="AV20" s="582">
        <v>2550.2000000000003</v>
      </c>
      <c r="AW20" s="582">
        <v>2440.4</v>
      </c>
      <c r="AX20" s="584">
        <v>2318.7999999999997</v>
      </c>
      <c r="AY20" s="585">
        <v>2279.2999999999997</v>
      </c>
      <c r="AZ20" s="582">
        <v>2504</v>
      </c>
      <c r="BA20" s="582">
        <v>2569.6</v>
      </c>
      <c r="BB20" s="582">
        <v>2433.3000000000002</v>
      </c>
      <c r="BC20" s="583">
        <v>2330.5</v>
      </c>
      <c r="BD20" s="582">
        <v>2369.3000000000002</v>
      </c>
      <c r="BE20" s="582">
        <v>1790.5</v>
      </c>
      <c r="BF20" s="582">
        <v>1694.2</v>
      </c>
    </row>
    <row r="21" spans="1:58" s="124" customFormat="1" ht="6" customHeight="1">
      <c r="A21" s="168"/>
      <c r="B21" s="168"/>
      <c r="C21" s="168"/>
      <c r="D21" s="168"/>
      <c r="E21" s="168"/>
      <c r="F21" s="168"/>
      <c r="G21" s="168"/>
      <c r="H21" s="168"/>
      <c r="I21" s="168"/>
      <c r="J21" s="168"/>
      <c r="K21" s="168"/>
      <c r="L21" s="168"/>
      <c r="M21" s="168"/>
      <c r="N21" s="168"/>
      <c r="O21" s="168"/>
      <c r="P21" s="168"/>
      <c r="Q21" s="168"/>
      <c r="R21" s="168"/>
      <c r="S21" s="168"/>
      <c r="T21" s="168"/>
      <c r="U21" s="168"/>
      <c r="V21" s="168"/>
      <c r="W21" s="168"/>
      <c r="X21" s="168"/>
      <c r="Y21" s="168"/>
      <c r="Z21" s="168"/>
      <c r="AA21" s="168"/>
      <c r="AB21" s="168"/>
      <c r="AC21" s="168"/>
      <c r="AD21" s="168"/>
      <c r="AE21" s="168"/>
      <c r="AF21" s="168"/>
      <c r="AG21" s="168"/>
      <c r="AH21" s="168"/>
      <c r="AI21" s="168"/>
      <c r="AJ21" s="168"/>
      <c r="AK21" s="168"/>
      <c r="AL21" s="168"/>
      <c r="AM21" s="168"/>
      <c r="AN21" s="168"/>
      <c r="AO21" s="168"/>
      <c r="AP21" s="105"/>
      <c r="AQ21" s="103"/>
      <c r="AR21" s="103"/>
      <c r="AS21" s="103"/>
      <c r="AT21" s="103"/>
      <c r="AU21" s="107"/>
      <c r="AV21" s="103"/>
      <c r="AW21" s="103"/>
      <c r="AX21" s="402"/>
      <c r="AY21" s="403"/>
      <c r="AZ21" s="103"/>
      <c r="BA21" s="103"/>
      <c r="BB21" s="103"/>
      <c r="BC21" s="107"/>
      <c r="BD21" s="103"/>
      <c r="BE21" s="103"/>
      <c r="BF21" s="103"/>
    </row>
    <row r="22" spans="1:58" s="124" customFormat="1" ht="11.25">
      <c r="A22" s="167" t="s">
        <v>648</v>
      </c>
      <c r="B22" s="167" t="s">
        <v>649</v>
      </c>
      <c r="C22" s="167"/>
      <c r="D22" s="167"/>
      <c r="E22" s="167"/>
      <c r="F22" s="167"/>
      <c r="G22" s="167"/>
      <c r="H22" s="167"/>
      <c r="I22" s="167"/>
      <c r="J22" s="167"/>
      <c r="K22" s="167"/>
      <c r="L22" s="167"/>
      <c r="M22" s="167"/>
      <c r="N22" s="167"/>
      <c r="O22" s="167"/>
      <c r="P22" s="167"/>
      <c r="Q22" s="167"/>
      <c r="R22" s="167"/>
      <c r="S22" s="167"/>
      <c r="T22" s="167"/>
      <c r="U22" s="167"/>
      <c r="V22" s="167"/>
      <c r="W22" s="167"/>
      <c r="X22" s="167"/>
      <c r="Y22" s="167"/>
      <c r="Z22" s="167"/>
      <c r="AA22" s="167"/>
      <c r="AB22" s="167"/>
      <c r="AC22" s="167"/>
      <c r="AD22" s="167"/>
      <c r="AE22" s="167"/>
      <c r="AF22" s="167"/>
      <c r="AG22" s="167"/>
      <c r="AH22" s="167"/>
      <c r="AI22" s="167"/>
      <c r="AJ22" s="167"/>
      <c r="AK22" s="167"/>
      <c r="AL22" s="167"/>
      <c r="AM22" s="167"/>
      <c r="AN22" s="167"/>
      <c r="AO22" s="167"/>
      <c r="AP22" s="104">
        <f t="shared" ref="AP22:AU22" si="33">SUM(AP23:AP26)</f>
        <v>1777</v>
      </c>
      <c r="AQ22" s="102">
        <f t="shared" si="33"/>
        <v>1556.6</v>
      </c>
      <c r="AR22" s="102">
        <f t="shared" si="33"/>
        <v>1754.7</v>
      </c>
      <c r="AS22" s="102">
        <f t="shared" si="33"/>
        <v>1518.8</v>
      </c>
      <c r="AT22" s="102">
        <f t="shared" si="33"/>
        <v>1654.1999999999998</v>
      </c>
      <c r="AU22" s="106">
        <f t="shared" si="33"/>
        <v>1879.8</v>
      </c>
      <c r="AV22" s="102">
        <f t="shared" ref="AV22:AW22" si="34">SUM(AV23:AV26)</f>
        <v>1706.4</v>
      </c>
      <c r="AW22" s="102">
        <f t="shared" si="34"/>
        <v>1674.5</v>
      </c>
      <c r="AX22" s="400">
        <f t="shared" ref="AX22:AY22" si="35">SUM(AX23:AX26)</f>
        <v>1774.5</v>
      </c>
      <c r="AY22" s="401">
        <f t="shared" si="35"/>
        <v>1760.8999999999999</v>
      </c>
      <c r="AZ22" s="102">
        <f t="shared" ref="AZ22:BA22" si="36">SUM(AZ23:AZ26)</f>
        <v>1860.8</v>
      </c>
      <c r="BA22" s="102">
        <f t="shared" si="36"/>
        <v>2070.4</v>
      </c>
      <c r="BB22" s="102">
        <f t="shared" ref="BB22:BC22" si="37">SUM(BB23:BB26)</f>
        <v>1673.4</v>
      </c>
      <c r="BC22" s="106">
        <f t="shared" si="37"/>
        <v>2159.3000000000002</v>
      </c>
      <c r="BD22" s="102">
        <f t="shared" ref="BD22:BE22" si="38">SUM(BD23:BD26)</f>
        <v>1678.3000000000002</v>
      </c>
      <c r="BE22" s="102">
        <f t="shared" si="38"/>
        <v>1675.6</v>
      </c>
      <c r="BF22" s="102">
        <f t="shared" ref="BF22" si="39">SUM(BF23:BF26)</f>
        <v>1758.6</v>
      </c>
    </row>
    <row r="23" spans="1:58" s="586" customFormat="1" ht="11.25">
      <c r="A23" s="580" t="s">
        <v>650</v>
      </c>
      <c r="B23" s="580" t="s">
        <v>651</v>
      </c>
      <c r="C23" s="580"/>
      <c r="D23" s="580"/>
      <c r="E23" s="580"/>
      <c r="F23" s="580"/>
      <c r="G23" s="580"/>
      <c r="H23" s="580"/>
      <c r="I23" s="580"/>
      <c r="J23" s="580"/>
      <c r="K23" s="580"/>
      <c r="L23" s="580"/>
      <c r="M23" s="580"/>
      <c r="N23" s="580"/>
      <c r="O23" s="580"/>
      <c r="P23" s="580"/>
      <c r="Q23" s="580"/>
      <c r="R23" s="580"/>
      <c r="S23" s="580"/>
      <c r="T23" s="580"/>
      <c r="U23" s="580"/>
      <c r="V23" s="580"/>
      <c r="W23" s="580"/>
      <c r="X23" s="580"/>
      <c r="Y23" s="580"/>
      <c r="Z23" s="580"/>
      <c r="AA23" s="580"/>
      <c r="AB23" s="580"/>
      <c r="AC23" s="580"/>
      <c r="AD23" s="580"/>
      <c r="AE23" s="580"/>
      <c r="AF23" s="580"/>
      <c r="AG23" s="580"/>
      <c r="AH23" s="580"/>
      <c r="AI23" s="580"/>
      <c r="AJ23" s="580"/>
      <c r="AK23" s="580"/>
      <c r="AL23" s="580"/>
      <c r="AM23" s="580"/>
      <c r="AN23" s="580"/>
      <c r="AO23" s="580"/>
      <c r="AP23" s="581">
        <v>311.2</v>
      </c>
      <c r="AQ23" s="582">
        <v>326</v>
      </c>
      <c r="AR23" s="582">
        <v>311.2</v>
      </c>
      <c r="AS23" s="582">
        <v>321</v>
      </c>
      <c r="AT23" s="582">
        <v>274</v>
      </c>
      <c r="AU23" s="583">
        <v>317.8</v>
      </c>
      <c r="AV23" s="582">
        <v>299</v>
      </c>
      <c r="AW23" s="582">
        <v>339.4</v>
      </c>
      <c r="AX23" s="584">
        <v>329.5</v>
      </c>
      <c r="AY23" s="585">
        <v>404</v>
      </c>
      <c r="AZ23" s="582">
        <v>399.9</v>
      </c>
      <c r="BA23" s="582">
        <v>423.5</v>
      </c>
      <c r="BB23" s="582">
        <v>400.1</v>
      </c>
      <c r="BC23" s="583">
        <v>411.3</v>
      </c>
      <c r="BD23" s="582">
        <v>460.20000000000005</v>
      </c>
      <c r="BE23" s="582">
        <v>501.3</v>
      </c>
      <c r="BF23" s="582">
        <v>547.1</v>
      </c>
    </row>
    <row r="24" spans="1:58" s="586" customFormat="1" ht="11.25">
      <c r="A24" s="580" t="s">
        <v>652</v>
      </c>
      <c r="B24" s="580" t="s">
        <v>653</v>
      </c>
      <c r="C24" s="580"/>
      <c r="D24" s="580"/>
      <c r="E24" s="580"/>
      <c r="F24" s="580"/>
      <c r="G24" s="580"/>
      <c r="H24" s="580"/>
      <c r="I24" s="580"/>
      <c r="J24" s="580"/>
      <c r="K24" s="580"/>
      <c r="L24" s="580"/>
      <c r="M24" s="580"/>
      <c r="N24" s="580"/>
      <c r="O24" s="580"/>
      <c r="P24" s="580"/>
      <c r="Q24" s="580"/>
      <c r="R24" s="580"/>
      <c r="S24" s="580"/>
      <c r="T24" s="580"/>
      <c r="U24" s="580"/>
      <c r="V24" s="580"/>
      <c r="W24" s="580"/>
      <c r="X24" s="580"/>
      <c r="Y24" s="580"/>
      <c r="Z24" s="580"/>
      <c r="AA24" s="580"/>
      <c r="AB24" s="580"/>
      <c r="AC24" s="580"/>
      <c r="AD24" s="580"/>
      <c r="AE24" s="580"/>
      <c r="AF24" s="580"/>
      <c r="AG24" s="580"/>
      <c r="AH24" s="580"/>
      <c r="AI24" s="580"/>
      <c r="AJ24" s="580"/>
      <c r="AK24" s="580"/>
      <c r="AL24" s="580"/>
      <c r="AM24" s="580"/>
      <c r="AN24" s="580"/>
      <c r="AO24" s="580"/>
      <c r="AP24" s="581">
        <v>64.8</v>
      </c>
      <c r="AQ24" s="582">
        <v>1.1000000000000001</v>
      </c>
      <c r="AR24" s="582">
        <v>27.1</v>
      </c>
      <c r="AS24" s="582">
        <v>24</v>
      </c>
      <c r="AT24" s="582">
        <v>1.4</v>
      </c>
      <c r="AU24" s="583">
        <v>8.1</v>
      </c>
      <c r="AV24" s="582">
        <v>67.400000000000006</v>
      </c>
      <c r="AW24" s="582">
        <v>67.300000000000011</v>
      </c>
      <c r="AX24" s="584">
        <v>8.6</v>
      </c>
      <c r="AY24" s="585">
        <v>8.1999999999999993</v>
      </c>
      <c r="AZ24" s="582">
        <v>8.3000000000000007</v>
      </c>
      <c r="BA24" s="582">
        <v>26.5</v>
      </c>
      <c r="BB24" s="582">
        <v>11.6</v>
      </c>
      <c r="BC24" s="583">
        <v>72.400000000000006</v>
      </c>
      <c r="BD24" s="582">
        <v>19.899999999999999</v>
      </c>
      <c r="BE24" s="582">
        <v>32.6</v>
      </c>
      <c r="BF24" s="582">
        <v>20.7</v>
      </c>
    </row>
    <row r="25" spans="1:58" s="586" customFormat="1" ht="22.5">
      <c r="A25" s="580" t="s">
        <v>654</v>
      </c>
      <c r="B25" s="580" t="s">
        <v>655</v>
      </c>
      <c r="C25" s="580"/>
      <c r="D25" s="580"/>
      <c r="E25" s="580"/>
      <c r="F25" s="580"/>
      <c r="G25" s="580"/>
      <c r="H25" s="580"/>
      <c r="I25" s="580"/>
      <c r="J25" s="580"/>
      <c r="K25" s="580"/>
      <c r="L25" s="580"/>
      <c r="M25" s="580"/>
      <c r="N25" s="580"/>
      <c r="O25" s="580"/>
      <c r="P25" s="580"/>
      <c r="Q25" s="580"/>
      <c r="R25" s="580"/>
      <c r="S25" s="580"/>
      <c r="T25" s="580"/>
      <c r="U25" s="580"/>
      <c r="V25" s="580"/>
      <c r="W25" s="580"/>
      <c r="X25" s="580"/>
      <c r="Y25" s="580"/>
      <c r="Z25" s="580"/>
      <c r="AA25" s="580"/>
      <c r="AB25" s="580"/>
      <c r="AC25" s="580"/>
      <c r="AD25" s="580"/>
      <c r="AE25" s="580"/>
      <c r="AF25" s="580"/>
      <c r="AG25" s="580"/>
      <c r="AH25" s="580"/>
      <c r="AI25" s="580"/>
      <c r="AJ25" s="580"/>
      <c r="AK25" s="580"/>
      <c r="AL25" s="580"/>
      <c r="AM25" s="580"/>
      <c r="AN25" s="580"/>
      <c r="AO25" s="580"/>
      <c r="AP25" s="581">
        <v>0</v>
      </c>
      <c r="AQ25" s="582">
        <v>0</v>
      </c>
      <c r="AR25" s="582">
        <v>0</v>
      </c>
      <c r="AS25" s="582">
        <v>0</v>
      </c>
      <c r="AT25" s="582">
        <v>0</v>
      </c>
      <c r="AU25" s="583">
        <v>11.6</v>
      </c>
      <c r="AV25" s="582">
        <v>0.30000000000000004</v>
      </c>
      <c r="AW25" s="582">
        <v>0</v>
      </c>
      <c r="AX25" s="584">
        <v>0</v>
      </c>
      <c r="AY25" s="585">
        <v>9.1</v>
      </c>
      <c r="AZ25" s="582">
        <v>0</v>
      </c>
      <c r="BA25" s="582">
        <v>0</v>
      </c>
      <c r="BB25" s="582">
        <v>0</v>
      </c>
      <c r="BC25" s="583">
        <v>559.5</v>
      </c>
      <c r="BD25" s="582">
        <v>0</v>
      </c>
      <c r="BE25" s="582">
        <v>0</v>
      </c>
      <c r="BF25" s="582">
        <v>0</v>
      </c>
    </row>
    <row r="26" spans="1:58" s="586" customFormat="1" ht="11.25">
      <c r="A26" s="580" t="s">
        <v>656</v>
      </c>
      <c r="B26" s="580" t="s">
        <v>657</v>
      </c>
      <c r="C26" s="580"/>
      <c r="D26" s="580"/>
      <c r="E26" s="580"/>
      <c r="F26" s="580"/>
      <c r="G26" s="580"/>
      <c r="H26" s="580"/>
      <c r="I26" s="580"/>
      <c r="J26" s="580"/>
      <c r="K26" s="580"/>
      <c r="L26" s="580"/>
      <c r="M26" s="580"/>
      <c r="N26" s="580"/>
      <c r="O26" s="580"/>
      <c r="P26" s="580"/>
      <c r="Q26" s="580"/>
      <c r="R26" s="580"/>
      <c r="S26" s="580"/>
      <c r="T26" s="580"/>
      <c r="U26" s="580"/>
      <c r="V26" s="580"/>
      <c r="W26" s="580"/>
      <c r="X26" s="580"/>
      <c r="Y26" s="580"/>
      <c r="Z26" s="580"/>
      <c r="AA26" s="580"/>
      <c r="AB26" s="580"/>
      <c r="AC26" s="580"/>
      <c r="AD26" s="580"/>
      <c r="AE26" s="580"/>
      <c r="AF26" s="580"/>
      <c r="AG26" s="580"/>
      <c r="AH26" s="580"/>
      <c r="AI26" s="580"/>
      <c r="AJ26" s="580"/>
      <c r="AK26" s="580"/>
      <c r="AL26" s="580"/>
      <c r="AM26" s="580"/>
      <c r="AN26" s="580"/>
      <c r="AO26" s="580"/>
      <c r="AP26" s="581">
        <v>1401</v>
      </c>
      <c r="AQ26" s="582">
        <v>1229.5</v>
      </c>
      <c r="AR26" s="582">
        <v>1416.4</v>
      </c>
      <c r="AS26" s="582">
        <v>1173.8</v>
      </c>
      <c r="AT26" s="582">
        <v>1378.8</v>
      </c>
      <c r="AU26" s="583">
        <v>1542.3</v>
      </c>
      <c r="AV26" s="582">
        <v>1339.7</v>
      </c>
      <c r="AW26" s="582">
        <v>1267.8</v>
      </c>
      <c r="AX26" s="584">
        <v>1436.4</v>
      </c>
      <c r="AY26" s="585">
        <v>1339.6</v>
      </c>
      <c r="AZ26" s="582">
        <v>1452.6</v>
      </c>
      <c r="BA26" s="582">
        <v>1620.4</v>
      </c>
      <c r="BB26" s="582">
        <v>1261.7</v>
      </c>
      <c r="BC26" s="583">
        <v>1116.0999999999999</v>
      </c>
      <c r="BD26" s="582">
        <v>1198.2</v>
      </c>
      <c r="BE26" s="582">
        <v>1141.7</v>
      </c>
      <c r="BF26" s="582">
        <v>1190.8</v>
      </c>
    </row>
  </sheetData>
  <mergeCells count="6">
    <mergeCell ref="BC3:BF3"/>
    <mergeCell ref="A3:A4"/>
    <mergeCell ref="B3:B4"/>
    <mergeCell ref="AQ3:AT3"/>
    <mergeCell ref="AU3:AX3"/>
    <mergeCell ref="AY3:BB3"/>
  </mergeCells>
  <printOptions horizontalCentered="1"/>
  <pageMargins left="0.23622047244094491" right="0.23622047244094491" top="0.74803149606299213" bottom="0.74803149606299213" header="0.31496062992125984" footer="0.31496062992125984"/>
  <pageSetup paperSize="9" scale="35" orientation="landscape" r:id="rId1"/>
  <headerFooter alignWithMargins="0">
    <oddHeader xml:space="preserve">&amp;C&amp;"Times New Roman,Kursywa"&amp;12
</oddHead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F71"/>
  <sheetViews>
    <sheetView showGridLines="0" view="pageBreakPreview" zoomScaleNormal="100" zoomScaleSheetLayoutView="100" workbookViewId="0">
      <pane xSplit="2" ySplit="11" topLeftCell="AZ12" activePane="bottomRight" state="frozen"/>
      <selection pane="topRight" activeCell="C1" sqref="C1"/>
      <selection pane="bottomLeft" activeCell="A12" sqref="A12"/>
      <selection pane="bottomRight" activeCell="BC10" sqref="BC10:BF10"/>
    </sheetView>
  </sheetViews>
  <sheetFormatPr defaultColWidth="9.140625" defaultRowHeight="13.5" outlineLevelCol="1"/>
  <cols>
    <col min="1" max="1" width="72" style="160" customWidth="1" outlineLevel="1"/>
    <col min="2" max="2" width="79.42578125" style="160" customWidth="1"/>
    <col min="3" max="30" width="8.7109375" style="160" customWidth="1"/>
    <col min="31" max="31" width="9" style="160" customWidth="1"/>
    <col min="32" max="38" width="9.140625" style="160" customWidth="1"/>
    <col min="39" max="46" width="9.140625" style="160"/>
    <col min="47" max="58" width="9.140625" style="325"/>
    <col min="59" max="16384" width="9.140625" style="160"/>
  </cols>
  <sheetData>
    <row r="1" spans="1:58">
      <c r="A1" s="52"/>
      <c r="B1" s="52"/>
      <c r="C1" s="14"/>
      <c r="D1" s="14"/>
      <c r="E1" s="14"/>
      <c r="F1" s="14"/>
      <c r="G1" s="14"/>
      <c r="H1" s="14"/>
      <c r="I1" s="14"/>
      <c r="J1" s="14"/>
      <c r="K1" s="13"/>
      <c r="L1" s="13"/>
      <c r="M1" s="13"/>
      <c r="N1" s="13"/>
      <c r="O1" s="13"/>
      <c r="P1" s="13"/>
      <c r="Q1" s="13"/>
      <c r="R1" s="13"/>
      <c r="S1" s="13"/>
      <c r="T1" s="13"/>
      <c r="U1" s="13"/>
      <c r="V1" s="13"/>
      <c r="W1" s="13"/>
      <c r="X1" s="13"/>
      <c r="Y1" s="13"/>
      <c r="Z1" s="13"/>
      <c r="AA1" s="13"/>
      <c r="AB1" s="13"/>
      <c r="AC1" s="13"/>
      <c r="AD1" s="13"/>
      <c r="AE1" s="13"/>
    </row>
    <row r="2" spans="1:58">
      <c r="A2" s="52"/>
      <c r="B2" s="52"/>
      <c r="C2" s="14"/>
      <c r="D2" s="14"/>
      <c r="E2" s="14"/>
      <c r="F2" s="14"/>
      <c r="G2" s="14"/>
      <c r="H2" s="14"/>
      <c r="I2" s="14"/>
      <c r="J2" s="14"/>
      <c r="K2" s="13"/>
      <c r="L2" s="13"/>
      <c r="M2" s="13"/>
      <c r="N2" s="13"/>
      <c r="O2" s="13"/>
      <c r="P2" s="13"/>
      <c r="Q2" s="13"/>
      <c r="R2" s="13"/>
      <c r="S2" s="13"/>
      <c r="T2" s="13"/>
      <c r="U2" s="13"/>
      <c r="V2" s="13"/>
      <c r="W2" s="13"/>
      <c r="X2" s="13"/>
      <c r="Y2" s="13"/>
      <c r="Z2" s="13"/>
      <c r="AA2" s="13"/>
      <c r="AB2" s="13"/>
      <c r="AC2" s="13"/>
      <c r="AD2" s="13"/>
      <c r="AE2" s="13"/>
    </row>
    <row r="3" spans="1:58">
      <c r="A3" s="296" t="s">
        <v>395</v>
      </c>
      <c r="B3" s="296" t="s">
        <v>394</v>
      </c>
      <c r="C3" s="14"/>
      <c r="D3" s="14"/>
      <c r="E3" s="14"/>
      <c r="F3" s="14"/>
      <c r="G3" s="14"/>
      <c r="H3" s="14"/>
      <c r="I3" s="14"/>
      <c r="J3" s="14"/>
      <c r="K3" s="13"/>
      <c r="L3" s="13"/>
      <c r="M3" s="13"/>
      <c r="N3" s="13"/>
      <c r="O3" s="13"/>
      <c r="P3" s="13"/>
      <c r="Q3" s="13"/>
      <c r="R3" s="13"/>
      <c r="S3" s="13"/>
      <c r="T3" s="13"/>
      <c r="U3" s="13"/>
      <c r="V3" s="13"/>
      <c r="W3" s="13"/>
      <c r="X3" s="13"/>
      <c r="Y3" s="13"/>
      <c r="Z3" s="13"/>
      <c r="AA3" s="13"/>
      <c r="AB3" s="13"/>
      <c r="AC3" s="13"/>
      <c r="AD3" s="13"/>
      <c r="AE3" s="13"/>
    </row>
    <row r="4" spans="1:58">
      <c r="A4" s="52"/>
      <c r="B4" s="52"/>
      <c r="C4" s="14"/>
      <c r="D4" s="14"/>
      <c r="E4" s="14"/>
      <c r="F4" s="14"/>
      <c r="G4" s="14"/>
      <c r="H4" s="14"/>
      <c r="I4" s="14"/>
      <c r="J4" s="14"/>
      <c r="K4" s="13"/>
      <c r="L4" s="13"/>
      <c r="M4" s="13"/>
      <c r="N4" s="13"/>
      <c r="O4" s="13"/>
      <c r="P4" s="13"/>
      <c r="Q4" s="13"/>
      <c r="R4" s="13"/>
      <c r="S4" s="13"/>
      <c r="T4" s="13"/>
      <c r="U4" s="13"/>
      <c r="V4" s="13"/>
      <c r="W4" s="13"/>
      <c r="X4" s="13"/>
      <c r="Y4" s="13"/>
      <c r="Z4" s="13"/>
      <c r="AA4" s="13"/>
      <c r="AB4" s="13"/>
      <c r="AC4" s="13"/>
      <c r="AD4" s="13"/>
      <c r="AE4" s="13"/>
    </row>
    <row r="5" spans="1:58">
      <c r="A5" s="52"/>
      <c r="B5" s="52"/>
      <c r="C5" s="14"/>
      <c r="D5" s="14"/>
      <c r="E5" s="14"/>
      <c r="F5" s="14"/>
      <c r="G5" s="14"/>
      <c r="H5" s="14"/>
      <c r="I5" s="14"/>
      <c r="J5" s="14"/>
      <c r="K5" s="13"/>
      <c r="L5" s="13"/>
      <c r="M5" s="13"/>
      <c r="N5" s="13"/>
      <c r="O5" s="13"/>
      <c r="P5" s="13"/>
      <c r="Q5" s="13"/>
      <c r="R5" s="13"/>
      <c r="S5" s="13"/>
      <c r="T5" s="13"/>
      <c r="U5" s="13"/>
      <c r="V5" s="13"/>
      <c r="W5" s="13"/>
      <c r="X5" s="13"/>
      <c r="Y5" s="13"/>
      <c r="Z5" s="13"/>
      <c r="AA5" s="13"/>
      <c r="AB5" s="13"/>
      <c r="AC5" s="13"/>
      <c r="AD5" s="13"/>
      <c r="AE5" s="13"/>
    </row>
    <row r="6" spans="1:58">
      <c r="A6" s="52"/>
      <c r="B6" s="52"/>
      <c r="C6" s="14"/>
      <c r="D6" s="14"/>
      <c r="E6" s="14"/>
      <c r="F6" s="14"/>
      <c r="G6" s="14"/>
      <c r="H6" s="14"/>
      <c r="I6" s="14"/>
      <c r="J6" s="14"/>
      <c r="K6" s="13"/>
      <c r="L6" s="13"/>
      <c r="M6" s="13"/>
      <c r="N6" s="13"/>
      <c r="O6" s="13"/>
      <c r="P6" s="13"/>
      <c r="Q6" s="13"/>
      <c r="R6" s="13"/>
      <c r="S6" s="13"/>
      <c r="T6" s="13"/>
      <c r="U6" s="13"/>
      <c r="V6" s="13"/>
      <c r="W6" s="13"/>
      <c r="X6" s="13"/>
      <c r="Y6" s="13"/>
      <c r="Z6" s="13"/>
      <c r="AA6" s="13"/>
      <c r="AB6" s="13"/>
      <c r="AC6" s="13"/>
      <c r="AD6" s="13"/>
      <c r="AE6" s="13"/>
    </row>
    <row r="7" spans="1:58">
      <c r="A7" s="52"/>
      <c r="B7" s="52"/>
      <c r="C7" s="14"/>
      <c r="D7" s="14"/>
      <c r="E7" s="14"/>
      <c r="F7" s="14"/>
      <c r="G7" s="14"/>
      <c r="H7" s="14"/>
      <c r="I7" s="14"/>
      <c r="J7" s="14"/>
      <c r="K7" s="13"/>
      <c r="L7" s="13"/>
      <c r="M7" s="13"/>
      <c r="N7" s="13"/>
      <c r="O7" s="13"/>
      <c r="P7" s="13"/>
      <c r="Q7" s="13"/>
      <c r="R7" s="13"/>
      <c r="S7" s="13"/>
      <c r="T7" s="13"/>
      <c r="U7" s="13"/>
      <c r="V7" s="13"/>
      <c r="W7" s="13"/>
      <c r="X7" s="13"/>
      <c r="Y7" s="13"/>
      <c r="Z7" s="13"/>
      <c r="AA7" s="13"/>
      <c r="AB7" s="13"/>
      <c r="AC7" s="13"/>
      <c r="AD7" s="13"/>
      <c r="AE7" s="13"/>
    </row>
    <row r="8" spans="1:58" s="115" customFormat="1">
      <c r="A8" s="52"/>
      <c r="B8" s="52"/>
      <c r="C8" s="14"/>
      <c r="D8" s="14"/>
      <c r="E8" s="14"/>
      <c r="F8" s="14"/>
      <c r="G8" s="14"/>
      <c r="H8" s="14"/>
      <c r="I8" s="14"/>
      <c r="J8" s="14"/>
      <c r="K8" s="13"/>
      <c r="L8" s="13"/>
      <c r="M8" s="13"/>
      <c r="N8" s="13"/>
      <c r="O8" s="13"/>
      <c r="P8" s="13"/>
      <c r="Q8" s="13"/>
      <c r="R8" s="13"/>
      <c r="S8" s="13"/>
      <c r="T8" s="13"/>
      <c r="U8" s="13"/>
      <c r="V8" s="13"/>
      <c r="W8" s="13"/>
      <c r="X8" s="13"/>
      <c r="Y8" s="13"/>
      <c r="Z8" s="13"/>
      <c r="AA8" s="13"/>
      <c r="AB8" s="13"/>
      <c r="AC8" s="13"/>
      <c r="AD8" s="13"/>
      <c r="AE8" s="13"/>
      <c r="AU8" s="196"/>
      <c r="AV8" s="196"/>
      <c r="AW8" s="196"/>
      <c r="AX8" s="196"/>
      <c r="AY8" s="196"/>
      <c r="AZ8" s="196"/>
      <c r="BA8" s="196"/>
      <c r="BB8" s="196"/>
      <c r="BC8" s="196"/>
      <c r="BD8" s="196"/>
      <c r="BE8" s="196"/>
      <c r="BF8" s="196"/>
    </row>
    <row r="9" spans="1:58" s="298" customFormat="1" ht="15.75">
      <c r="A9" s="297" t="s">
        <v>424</v>
      </c>
      <c r="B9" s="297" t="s">
        <v>425</v>
      </c>
      <c r="C9" s="14"/>
      <c r="D9" s="14"/>
      <c r="E9" s="14"/>
      <c r="F9" s="14"/>
      <c r="G9" s="14"/>
      <c r="H9" s="14"/>
      <c r="I9" s="14"/>
      <c r="J9" s="14"/>
      <c r="K9" s="14"/>
      <c r="L9" s="14"/>
      <c r="M9" s="14"/>
      <c r="N9" s="14"/>
      <c r="O9" s="14"/>
      <c r="P9" s="14"/>
      <c r="Q9" s="14"/>
      <c r="R9" s="14"/>
      <c r="S9" s="14"/>
      <c r="T9" s="14"/>
      <c r="U9" s="14"/>
      <c r="V9" s="14"/>
      <c r="W9" s="14"/>
      <c r="X9" s="14"/>
      <c r="Y9" s="14"/>
      <c r="Z9" s="14"/>
      <c r="AA9" s="14"/>
      <c r="AB9" s="14"/>
      <c r="AC9" s="14"/>
      <c r="AD9" s="14"/>
      <c r="AE9" s="14"/>
      <c r="AU9" s="173"/>
      <c r="AV9" s="173"/>
      <c r="AW9" s="173"/>
      <c r="AX9" s="173"/>
      <c r="AY9" s="173"/>
      <c r="AZ9" s="173"/>
      <c r="BA9" s="173"/>
      <c r="BB9" s="173"/>
      <c r="BC9" s="173"/>
      <c r="BD9" s="173"/>
      <c r="BE9" s="173"/>
      <c r="BF9" s="173"/>
    </row>
    <row r="10" spans="1:58" s="115" customFormat="1" ht="11.25" customHeight="1">
      <c r="A10" s="639" t="s">
        <v>528</v>
      </c>
      <c r="B10" s="639" t="s">
        <v>527</v>
      </c>
      <c r="C10" s="636">
        <v>2007</v>
      </c>
      <c r="D10" s="641"/>
      <c r="E10" s="641"/>
      <c r="F10" s="641"/>
      <c r="G10" s="636">
        <v>2008</v>
      </c>
      <c r="H10" s="641"/>
      <c r="I10" s="641"/>
      <c r="J10" s="641"/>
      <c r="K10" s="636">
        <v>2009</v>
      </c>
      <c r="L10" s="641"/>
      <c r="M10" s="641"/>
      <c r="N10" s="641"/>
      <c r="O10" s="636">
        <v>2010</v>
      </c>
      <c r="P10" s="641"/>
      <c r="Q10" s="641"/>
      <c r="R10" s="641"/>
      <c r="S10" s="636">
        <v>2011</v>
      </c>
      <c r="T10" s="641"/>
      <c r="U10" s="641"/>
      <c r="V10" s="641"/>
      <c r="W10" s="636">
        <v>2012</v>
      </c>
      <c r="X10" s="641"/>
      <c r="Y10" s="641"/>
      <c r="Z10" s="642"/>
      <c r="AA10" s="636">
        <v>2013</v>
      </c>
      <c r="AB10" s="641"/>
      <c r="AC10" s="641"/>
      <c r="AD10" s="642"/>
      <c r="AE10" s="636">
        <v>2014</v>
      </c>
      <c r="AF10" s="641"/>
      <c r="AG10" s="641"/>
      <c r="AH10" s="642"/>
      <c r="AI10" s="645">
        <v>2015</v>
      </c>
      <c r="AJ10" s="641"/>
      <c r="AK10" s="641"/>
      <c r="AL10" s="642"/>
      <c r="AM10" s="645">
        <v>2016</v>
      </c>
      <c r="AN10" s="641"/>
      <c r="AO10" s="641"/>
      <c r="AP10" s="642"/>
      <c r="AQ10" s="703">
        <v>2017</v>
      </c>
      <c r="AR10" s="704"/>
      <c r="AS10" s="704"/>
      <c r="AT10" s="704"/>
      <c r="AU10" s="711">
        <v>2018</v>
      </c>
      <c r="AV10" s="712"/>
      <c r="AW10" s="712"/>
      <c r="AX10" s="638"/>
      <c r="AY10" s="711">
        <v>2019</v>
      </c>
      <c r="AZ10" s="712"/>
      <c r="BA10" s="712"/>
      <c r="BB10" s="638"/>
      <c r="BC10" s="711">
        <v>2020</v>
      </c>
      <c r="BD10" s="712"/>
      <c r="BE10" s="712"/>
      <c r="BF10" s="638"/>
    </row>
    <row r="11" spans="1:58" s="115" customFormat="1" ht="11.25" customHeight="1">
      <c r="A11" s="640"/>
      <c r="B11" s="640"/>
      <c r="C11" s="20" t="s">
        <v>149</v>
      </c>
      <c r="D11" s="21" t="s">
        <v>150</v>
      </c>
      <c r="E11" s="21" t="s">
        <v>151</v>
      </c>
      <c r="F11" s="21" t="s">
        <v>152</v>
      </c>
      <c r="G11" s="20" t="s">
        <v>149</v>
      </c>
      <c r="H11" s="21" t="s">
        <v>150</v>
      </c>
      <c r="I11" s="21" t="s">
        <v>151</v>
      </c>
      <c r="J11" s="43" t="s">
        <v>152</v>
      </c>
      <c r="K11" s="20" t="s">
        <v>149</v>
      </c>
      <c r="L11" s="21" t="s">
        <v>150</v>
      </c>
      <c r="M11" s="21" t="s">
        <v>151</v>
      </c>
      <c r="N11" s="43" t="s">
        <v>152</v>
      </c>
      <c r="O11" s="20" t="s">
        <v>149</v>
      </c>
      <c r="P11" s="21" t="s">
        <v>150</v>
      </c>
      <c r="Q11" s="21" t="s">
        <v>151</v>
      </c>
      <c r="R11" s="43" t="s">
        <v>152</v>
      </c>
      <c r="S11" s="20" t="s">
        <v>149</v>
      </c>
      <c r="T11" s="21" t="s">
        <v>150</v>
      </c>
      <c r="U11" s="21" t="s">
        <v>151</v>
      </c>
      <c r="V11" s="43" t="s">
        <v>152</v>
      </c>
      <c r="W11" s="20" t="s">
        <v>149</v>
      </c>
      <c r="X11" s="21" t="s">
        <v>150</v>
      </c>
      <c r="Y11" s="21" t="s">
        <v>151</v>
      </c>
      <c r="Z11" s="43" t="s">
        <v>152</v>
      </c>
      <c r="AA11" s="181" t="s">
        <v>149</v>
      </c>
      <c r="AB11" s="181" t="s">
        <v>150</v>
      </c>
      <c r="AC11" s="181" t="s">
        <v>151</v>
      </c>
      <c r="AD11" s="43" t="s">
        <v>152</v>
      </c>
      <c r="AE11" s="180" t="s">
        <v>149</v>
      </c>
      <c r="AF11" s="181" t="s">
        <v>150</v>
      </c>
      <c r="AG11" s="181" t="s">
        <v>151</v>
      </c>
      <c r="AH11" s="182" t="s">
        <v>152</v>
      </c>
      <c r="AI11" s="181" t="s">
        <v>149</v>
      </c>
      <c r="AJ11" s="181" t="s">
        <v>150</v>
      </c>
      <c r="AK11" s="181" t="s">
        <v>151</v>
      </c>
      <c r="AL11" s="182" t="s">
        <v>152</v>
      </c>
      <c r="AM11" s="181" t="s">
        <v>149</v>
      </c>
      <c r="AN11" s="181" t="s">
        <v>150</v>
      </c>
      <c r="AO11" s="181" t="s">
        <v>151</v>
      </c>
      <c r="AP11" s="182" t="s">
        <v>152</v>
      </c>
      <c r="AQ11" s="180" t="s">
        <v>149</v>
      </c>
      <c r="AR11" s="181" t="s">
        <v>150</v>
      </c>
      <c r="AS11" s="181" t="s">
        <v>151</v>
      </c>
      <c r="AT11" s="181" t="s">
        <v>152</v>
      </c>
      <c r="AU11" s="180" t="s">
        <v>149</v>
      </c>
      <c r="AV11" s="181" t="s">
        <v>150</v>
      </c>
      <c r="AW11" s="181" t="s">
        <v>151</v>
      </c>
      <c r="AX11" s="181" t="s">
        <v>152</v>
      </c>
      <c r="AY11" s="180" t="s">
        <v>149</v>
      </c>
      <c r="AZ11" s="181" t="s">
        <v>150</v>
      </c>
      <c r="BA11" s="181" t="s">
        <v>151</v>
      </c>
      <c r="BB11" s="181" t="s">
        <v>152</v>
      </c>
      <c r="BC11" s="180" t="s">
        <v>149</v>
      </c>
      <c r="BD11" s="181" t="s">
        <v>150</v>
      </c>
      <c r="BE11" s="181" t="s">
        <v>151</v>
      </c>
      <c r="BF11" s="181" t="s">
        <v>152</v>
      </c>
    </row>
    <row r="12" spans="1:58" s="115" customFormat="1" ht="12.75" customHeight="1">
      <c r="A12" s="22" t="s">
        <v>154</v>
      </c>
      <c r="B12" s="22" t="s">
        <v>11</v>
      </c>
      <c r="C12" s="108"/>
      <c r="D12" s="109"/>
      <c r="E12" s="55"/>
      <c r="F12" s="109"/>
      <c r="G12" s="108"/>
      <c r="H12" s="109"/>
      <c r="I12" s="55"/>
      <c r="J12" s="110"/>
      <c r="K12" s="108"/>
      <c r="L12" s="109"/>
      <c r="M12" s="55"/>
      <c r="N12" s="110"/>
      <c r="O12" s="108"/>
      <c r="P12" s="109"/>
      <c r="Q12" s="55"/>
      <c r="R12" s="110"/>
      <c r="S12" s="111"/>
      <c r="T12" s="112"/>
      <c r="U12" s="22"/>
      <c r="V12" s="113"/>
      <c r="W12" s="111"/>
      <c r="X12" s="22"/>
      <c r="Y12" s="22"/>
      <c r="Z12" s="114"/>
      <c r="AA12" s="22"/>
      <c r="AB12" s="22"/>
      <c r="AC12" s="22"/>
      <c r="AD12" s="114"/>
      <c r="AE12" s="111"/>
      <c r="AF12" s="22"/>
      <c r="AG12" s="22"/>
      <c r="AH12" s="114"/>
      <c r="AI12" s="22"/>
      <c r="AJ12" s="22"/>
      <c r="AK12" s="22"/>
      <c r="AL12" s="114"/>
      <c r="AM12" s="22"/>
      <c r="AN12" s="22"/>
      <c r="AO12" s="22"/>
      <c r="AP12" s="114"/>
      <c r="AQ12" s="111"/>
      <c r="AR12" s="22"/>
      <c r="AS12" s="22"/>
      <c r="AT12" s="22"/>
      <c r="AU12" s="111"/>
      <c r="AV12" s="22"/>
      <c r="AW12" s="22"/>
      <c r="AX12" s="22"/>
      <c r="AY12" s="111"/>
      <c r="AZ12" s="22"/>
      <c r="BA12" s="22"/>
      <c r="BB12" s="22"/>
      <c r="BC12" s="111"/>
      <c r="BD12" s="22"/>
      <c r="BE12" s="22"/>
      <c r="BF12" s="22"/>
    </row>
    <row r="13" spans="1:58" s="123" customFormat="1" ht="11.25">
      <c r="A13" s="116" t="s">
        <v>396</v>
      </c>
      <c r="B13" s="116" t="s">
        <v>357</v>
      </c>
      <c r="C13" s="117"/>
      <c r="D13" s="118"/>
      <c r="E13" s="118"/>
      <c r="F13" s="119"/>
      <c r="G13" s="117"/>
      <c r="H13" s="118"/>
      <c r="I13" s="118"/>
      <c r="J13" s="119"/>
      <c r="K13" s="118"/>
      <c r="L13" s="118"/>
      <c r="M13" s="118"/>
      <c r="N13" s="118"/>
      <c r="O13" s="117"/>
      <c r="P13" s="118"/>
      <c r="Q13" s="118"/>
      <c r="R13" s="119"/>
      <c r="S13" s="120"/>
      <c r="T13" s="120"/>
      <c r="U13" s="120"/>
      <c r="V13" s="120"/>
      <c r="W13" s="121"/>
      <c r="X13" s="120"/>
      <c r="Y13" s="120"/>
      <c r="Z13" s="122"/>
      <c r="AA13" s="120"/>
      <c r="AB13" s="120"/>
      <c r="AC13" s="120"/>
      <c r="AD13" s="114"/>
      <c r="AE13" s="111"/>
      <c r="AF13" s="22"/>
      <c r="AG13" s="22"/>
      <c r="AH13" s="114"/>
      <c r="AI13" s="22"/>
      <c r="AJ13" s="22"/>
      <c r="AK13" s="22"/>
      <c r="AL13" s="114"/>
      <c r="AM13" s="22"/>
      <c r="AN13" s="22"/>
      <c r="AO13" s="22"/>
      <c r="AP13" s="114"/>
      <c r="AQ13" s="111"/>
      <c r="AR13" s="22"/>
      <c r="AS13" s="22"/>
      <c r="AT13" s="22"/>
      <c r="AU13" s="111"/>
      <c r="AV13" s="22"/>
      <c r="AW13" s="22"/>
      <c r="AX13" s="22"/>
      <c r="AY13" s="111"/>
      <c r="AZ13" s="22"/>
      <c r="BA13" s="22"/>
      <c r="BB13" s="22"/>
      <c r="BC13" s="111"/>
      <c r="BD13" s="22"/>
      <c r="BE13" s="22"/>
      <c r="BF13" s="22"/>
    </row>
    <row r="14" spans="1:58" s="586" customFormat="1" ht="11.25">
      <c r="A14" s="530" t="s">
        <v>373</v>
      </c>
      <c r="B14" s="530" t="s">
        <v>358</v>
      </c>
      <c r="C14" s="435">
        <f t="shared" ref="C14:AU14" si="0">C15+C16</f>
        <v>3928.2000000000003</v>
      </c>
      <c r="D14" s="436">
        <f t="shared" si="0"/>
        <v>3650.9</v>
      </c>
      <c r="E14" s="436">
        <f t="shared" si="0"/>
        <v>3822.1</v>
      </c>
      <c r="F14" s="437">
        <f t="shared" si="0"/>
        <v>3840.5</v>
      </c>
      <c r="G14" s="435">
        <f t="shared" si="0"/>
        <v>4015.3999999999992</v>
      </c>
      <c r="H14" s="436">
        <f t="shared" si="0"/>
        <v>3979.2999999999993</v>
      </c>
      <c r="I14" s="436">
        <f t="shared" si="0"/>
        <v>4279.7</v>
      </c>
      <c r="J14" s="437">
        <f t="shared" si="0"/>
        <v>4224.4999999999991</v>
      </c>
      <c r="K14" s="436">
        <f t="shared" si="0"/>
        <v>4283.1999999999989</v>
      </c>
      <c r="L14" s="406">
        <f t="shared" si="0"/>
        <v>4516.8999999999996</v>
      </c>
      <c r="M14" s="406">
        <f t="shared" si="0"/>
        <v>4744.4000000000005</v>
      </c>
      <c r="N14" s="406">
        <f t="shared" si="0"/>
        <v>4886.7</v>
      </c>
      <c r="O14" s="405">
        <f t="shared" si="0"/>
        <v>5134</v>
      </c>
      <c r="P14" s="406">
        <f t="shared" si="0"/>
        <v>5282.4000000000005</v>
      </c>
      <c r="Q14" s="406">
        <f t="shared" si="0"/>
        <v>5531.9</v>
      </c>
      <c r="R14" s="510">
        <f t="shared" si="0"/>
        <v>5653.0999999999995</v>
      </c>
      <c r="S14" s="406">
        <f t="shared" si="0"/>
        <v>5784.2999999999993</v>
      </c>
      <c r="T14" s="406">
        <f t="shared" si="0"/>
        <v>5953.8</v>
      </c>
      <c r="U14" s="406">
        <f t="shared" si="0"/>
        <v>6196.8999999999987</v>
      </c>
      <c r="V14" s="406">
        <f t="shared" si="0"/>
        <v>6416</v>
      </c>
      <c r="W14" s="405">
        <f t="shared" si="0"/>
        <v>6753.4000000000005</v>
      </c>
      <c r="X14" s="406">
        <f t="shared" si="0"/>
        <v>6981.1</v>
      </c>
      <c r="Y14" s="406">
        <f t="shared" si="0"/>
        <v>7427.1999999999989</v>
      </c>
      <c r="Z14" s="510">
        <f t="shared" si="0"/>
        <v>8136.1</v>
      </c>
      <c r="AA14" s="406">
        <f t="shared" si="0"/>
        <v>8238.7999999999993</v>
      </c>
      <c r="AB14" s="406">
        <f t="shared" si="0"/>
        <v>8133.4999999999991</v>
      </c>
      <c r="AC14" s="406">
        <f t="shared" si="0"/>
        <v>8271.5</v>
      </c>
      <c r="AD14" s="510">
        <f t="shared" si="0"/>
        <v>8628.5999999999985</v>
      </c>
      <c r="AE14" s="405">
        <f t="shared" si="0"/>
        <v>8887.9</v>
      </c>
      <c r="AF14" s="406">
        <f t="shared" si="0"/>
        <v>9161.1</v>
      </c>
      <c r="AG14" s="406">
        <f t="shared" si="0"/>
        <v>9934.2000000000007</v>
      </c>
      <c r="AH14" s="510">
        <f t="shared" si="0"/>
        <v>10456.6</v>
      </c>
      <c r="AI14" s="406">
        <f t="shared" si="0"/>
        <v>10232.1</v>
      </c>
      <c r="AJ14" s="406">
        <f t="shared" si="0"/>
        <v>9558.6999999999989</v>
      </c>
      <c r="AK14" s="406">
        <f t="shared" si="0"/>
        <v>10304.399999999998</v>
      </c>
      <c r="AL14" s="510">
        <f t="shared" si="0"/>
        <v>10680.499999999998</v>
      </c>
      <c r="AM14" s="406">
        <f t="shared" si="0"/>
        <v>10670.100000000002</v>
      </c>
      <c r="AN14" s="406">
        <f t="shared" si="0"/>
        <v>10812.6</v>
      </c>
      <c r="AO14" s="406">
        <f t="shared" si="0"/>
        <v>10979</v>
      </c>
      <c r="AP14" s="510">
        <f t="shared" si="0"/>
        <v>10477.200000000001</v>
      </c>
      <c r="AQ14" s="405">
        <f t="shared" si="0"/>
        <v>10789.4</v>
      </c>
      <c r="AR14" s="406">
        <f t="shared" si="0"/>
        <v>11154.1</v>
      </c>
      <c r="AS14" s="406">
        <f t="shared" si="0"/>
        <v>11486.2</v>
      </c>
      <c r="AT14" s="406">
        <f t="shared" si="0"/>
        <v>11794.8</v>
      </c>
      <c r="AU14" s="405">
        <f t="shared" si="0"/>
        <v>12058.899999999998</v>
      </c>
      <c r="AV14" s="406">
        <f t="shared" ref="AV14:AW14" si="1">AV15+AV16</f>
        <v>11889.499999999998</v>
      </c>
      <c r="AW14" s="406">
        <f t="shared" si="1"/>
        <v>12161.900000000001</v>
      </c>
      <c r="AX14" s="406">
        <f t="shared" ref="AX14:AY14" si="2">AX15+AX16</f>
        <v>13321.500000000002</v>
      </c>
      <c r="AY14" s="405">
        <f t="shared" si="2"/>
        <v>13428.9</v>
      </c>
      <c r="AZ14" s="406">
        <f t="shared" ref="AZ14:BA14" si="3">AZ15+AZ16</f>
        <v>14236.599999999999</v>
      </c>
      <c r="BA14" s="406">
        <f t="shared" si="3"/>
        <v>15262.7</v>
      </c>
      <c r="BB14" s="406">
        <f t="shared" ref="BB14:BC14" si="4">BB15+BB16</f>
        <v>15223.3</v>
      </c>
      <c r="BC14" s="405">
        <f t="shared" si="4"/>
        <v>17341</v>
      </c>
      <c r="BD14" s="406">
        <f t="shared" ref="BD14:BF14" si="5">BD15+BD16</f>
        <v>18235.5</v>
      </c>
      <c r="BE14" s="406">
        <f t="shared" si="5"/>
        <v>18595.8</v>
      </c>
      <c r="BF14" s="406">
        <f t="shared" si="5"/>
        <v>18618.3</v>
      </c>
    </row>
    <row r="15" spans="1:58" s="586" customFormat="1" ht="11.25">
      <c r="A15" s="594" t="s">
        <v>562</v>
      </c>
      <c r="B15" s="532" t="s">
        <v>560</v>
      </c>
      <c r="C15" s="425">
        <v>3171.4</v>
      </c>
      <c r="D15" s="337">
        <v>3315.7</v>
      </c>
      <c r="E15" s="337">
        <v>3288.8999999999996</v>
      </c>
      <c r="F15" s="338">
        <v>3209.7999999999997</v>
      </c>
      <c r="G15" s="425">
        <v>3580.3999999999992</v>
      </c>
      <c r="H15" s="337">
        <v>3540.6999999999994</v>
      </c>
      <c r="I15" s="337">
        <v>4058</v>
      </c>
      <c r="J15" s="338">
        <v>4088.0999999999995</v>
      </c>
      <c r="K15" s="337">
        <v>4105.5999999999995</v>
      </c>
      <c r="L15" s="408">
        <v>4179.7</v>
      </c>
      <c r="M15" s="408">
        <v>4467.7000000000007</v>
      </c>
      <c r="N15" s="408">
        <v>4488.2000000000007</v>
      </c>
      <c r="O15" s="407">
        <v>4825.1000000000004</v>
      </c>
      <c r="P15" s="408">
        <v>4818.5000000000009</v>
      </c>
      <c r="Q15" s="408">
        <v>5223.2999999999993</v>
      </c>
      <c r="R15" s="504">
        <v>5199.5999999999995</v>
      </c>
      <c r="S15" s="408">
        <v>5336.2999999999993</v>
      </c>
      <c r="T15" s="408">
        <v>5427.9000000000005</v>
      </c>
      <c r="U15" s="408">
        <v>5836.2999999999993</v>
      </c>
      <c r="V15" s="408">
        <v>5850.5</v>
      </c>
      <c r="W15" s="407">
        <v>6359.9000000000005</v>
      </c>
      <c r="X15" s="408">
        <v>6655.6</v>
      </c>
      <c r="Y15" s="408">
        <v>6989.2999999999993</v>
      </c>
      <c r="Z15" s="504">
        <v>7285.3</v>
      </c>
      <c r="AA15" s="408">
        <v>7511.8</v>
      </c>
      <c r="AB15" s="408">
        <v>7339.1999999999989</v>
      </c>
      <c r="AC15" s="408">
        <v>7756.3</v>
      </c>
      <c r="AD15" s="504">
        <v>7755.7999999999993</v>
      </c>
      <c r="AE15" s="407">
        <v>7046.2999999999993</v>
      </c>
      <c r="AF15" s="408">
        <v>7453.3</v>
      </c>
      <c r="AG15" s="408">
        <v>7492.4</v>
      </c>
      <c r="AH15" s="504">
        <v>7491.5</v>
      </c>
      <c r="AI15" s="408">
        <v>8192.6</v>
      </c>
      <c r="AJ15" s="408">
        <v>8125.6999999999989</v>
      </c>
      <c r="AK15" s="408">
        <v>8385.9999999999982</v>
      </c>
      <c r="AL15" s="504">
        <v>8479.0999999999985</v>
      </c>
      <c r="AM15" s="408">
        <v>8893.1000000000022</v>
      </c>
      <c r="AN15" s="408">
        <v>8845.5</v>
      </c>
      <c r="AO15" s="408">
        <v>9150.1</v>
      </c>
      <c r="AP15" s="504">
        <v>9069.9000000000015</v>
      </c>
      <c r="AQ15" s="407">
        <v>9127.4</v>
      </c>
      <c r="AR15" s="408">
        <v>10115.1</v>
      </c>
      <c r="AS15" s="408">
        <v>10146.1</v>
      </c>
      <c r="AT15" s="408">
        <v>10843.4</v>
      </c>
      <c r="AU15" s="407">
        <v>10681.599999999999</v>
      </c>
      <c r="AV15" s="408">
        <v>10970.099999999999</v>
      </c>
      <c r="AW15" s="408">
        <v>11450.2</v>
      </c>
      <c r="AX15" s="408">
        <v>11697.600000000002</v>
      </c>
      <c r="AY15" s="407">
        <v>11969.1</v>
      </c>
      <c r="AZ15" s="408">
        <v>12058.999999999998</v>
      </c>
      <c r="BA15" s="408">
        <v>12617.1</v>
      </c>
      <c r="BB15" s="408">
        <v>12879.3</v>
      </c>
      <c r="BC15" s="407">
        <v>12616.699999999999</v>
      </c>
      <c r="BD15" s="408">
        <v>14071.695588469194</v>
      </c>
      <c r="BE15" s="408">
        <v>14122.495588469195</v>
      </c>
      <c r="BF15" s="408">
        <v>14266.1</v>
      </c>
    </row>
    <row r="16" spans="1:58" s="596" customFormat="1" ht="11.25">
      <c r="A16" s="595" t="s">
        <v>563</v>
      </c>
      <c r="B16" s="595" t="s">
        <v>561</v>
      </c>
      <c r="C16" s="452">
        <v>756.80000000000007</v>
      </c>
      <c r="D16" s="453">
        <v>335.20000000000039</v>
      </c>
      <c r="E16" s="453">
        <v>533.20000000000027</v>
      </c>
      <c r="F16" s="454">
        <v>630.70000000000027</v>
      </c>
      <c r="G16" s="452">
        <v>435</v>
      </c>
      <c r="H16" s="453">
        <v>438.59999999999991</v>
      </c>
      <c r="I16" s="453">
        <v>221.69999999999987</v>
      </c>
      <c r="J16" s="454">
        <v>136.39999999999981</v>
      </c>
      <c r="K16" s="453">
        <v>177.5999999999998</v>
      </c>
      <c r="L16" s="576">
        <v>337.19999999999976</v>
      </c>
      <c r="M16" s="576">
        <v>276.6999999999997</v>
      </c>
      <c r="N16" s="576">
        <v>398.49999999999943</v>
      </c>
      <c r="O16" s="578">
        <v>308.89999999999998</v>
      </c>
      <c r="P16" s="576">
        <v>463.9</v>
      </c>
      <c r="Q16" s="576">
        <v>308.59999999999991</v>
      </c>
      <c r="R16" s="577">
        <v>453.49999999999989</v>
      </c>
      <c r="S16" s="576">
        <v>447.99999999999989</v>
      </c>
      <c r="T16" s="576">
        <v>525.89999999999986</v>
      </c>
      <c r="U16" s="576">
        <v>360.59999999999968</v>
      </c>
      <c r="V16" s="576">
        <v>565.49999999999966</v>
      </c>
      <c r="W16" s="578">
        <v>393.50000000000006</v>
      </c>
      <c r="X16" s="576">
        <v>325.5</v>
      </c>
      <c r="Y16" s="576">
        <v>437.89999999999986</v>
      </c>
      <c r="Z16" s="577">
        <v>850.8</v>
      </c>
      <c r="AA16" s="576">
        <v>727</v>
      </c>
      <c r="AB16" s="576">
        <v>794.3</v>
      </c>
      <c r="AC16" s="576">
        <v>515.20000000000005</v>
      </c>
      <c r="AD16" s="577">
        <v>872.8</v>
      </c>
      <c r="AE16" s="578">
        <v>1841.6</v>
      </c>
      <c r="AF16" s="576">
        <v>1707.8</v>
      </c>
      <c r="AG16" s="576">
        <v>2441.8000000000002</v>
      </c>
      <c r="AH16" s="577">
        <v>2965.1</v>
      </c>
      <c r="AI16" s="576">
        <v>2039.5</v>
      </c>
      <c r="AJ16" s="576">
        <v>1433</v>
      </c>
      <c r="AK16" s="576">
        <v>1918.4</v>
      </c>
      <c r="AL16" s="577">
        <v>2201.4</v>
      </c>
      <c r="AM16" s="576">
        <v>1777</v>
      </c>
      <c r="AN16" s="576">
        <v>1967.1000000000004</v>
      </c>
      <c r="AO16" s="576">
        <v>1828.9</v>
      </c>
      <c r="AP16" s="504">
        <v>1407.3</v>
      </c>
      <c r="AQ16" s="578">
        <v>1662</v>
      </c>
      <c r="AR16" s="576">
        <v>1039</v>
      </c>
      <c r="AS16" s="576">
        <v>1340.1</v>
      </c>
      <c r="AT16" s="576">
        <v>951.39999999999986</v>
      </c>
      <c r="AU16" s="578">
        <v>1377.2999999999997</v>
      </c>
      <c r="AV16" s="576">
        <v>919.39999999999986</v>
      </c>
      <c r="AW16" s="576">
        <v>711.7</v>
      </c>
      <c r="AX16" s="576">
        <v>1623.9</v>
      </c>
      <c r="AY16" s="578">
        <v>1459.7999999999997</v>
      </c>
      <c r="AZ16" s="576">
        <v>2177.6</v>
      </c>
      <c r="BA16" s="576">
        <v>2645.6000000000004</v>
      </c>
      <c r="BB16" s="576">
        <v>2344</v>
      </c>
      <c r="BC16" s="578">
        <v>4724.3</v>
      </c>
      <c r="BD16" s="576">
        <v>4163.8044115308048</v>
      </c>
      <c r="BE16" s="576">
        <v>4473.3044115308048</v>
      </c>
      <c r="BF16" s="576">
        <v>4352.2</v>
      </c>
    </row>
    <row r="17" spans="1:58" s="596" customFormat="1" ht="11.25">
      <c r="A17" s="597" t="s">
        <v>374</v>
      </c>
      <c r="B17" s="597" t="s">
        <v>359</v>
      </c>
      <c r="C17" s="435">
        <f t="shared" ref="C17:AU17" si="6">SUM(C18,C26,C27)</f>
        <v>-287.59999999999997</v>
      </c>
      <c r="D17" s="436">
        <f t="shared" si="6"/>
        <v>-310.3</v>
      </c>
      <c r="E17" s="436">
        <f t="shared" si="6"/>
        <v>-177.8</v>
      </c>
      <c r="F17" s="437">
        <f t="shared" si="6"/>
        <v>-227</v>
      </c>
      <c r="G17" s="435">
        <f t="shared" si="6"/>
        <v>-325.10000000000002</v>
      </c>
      <c r="H17" s="436">
        <f t="shared" si="6"/>
        <v>-292.60000000000002</v>
      </c>
      <c r="I17" s="436">
        <f t="shared" si="6"/>
        <v>-259.60000000000002</v>
      </c>
      <c r="J17" s="437">
        <f t="shared" si="6"/>
        <v>-276.5</v>
      </c>
      <c r="K17" s="436">
        <f t="shared" si="6"/>
        <v>-353.5</v>
      </c>
      <c r="L17" s="436">
        <f t="shared" si="6"/>
        <v>-294.3</v>
      </c>
      <c r="M17" s="436">
        <f t="shared" si="6"/>
        <v>-301.59999999999997</v>
      </c>
      <c r="N17" s="436">
        <f t="shared" si="6"/>
        <v>-301.8</v>
      </c>
      <c r="O17" s="435">
        <f t="shared" si="6"/>
        <v>-307.5</v>
      </c>
      <c r="P17" s="436">
        <f t="shared" si="6"/>
        <v>-327</v>
      </c>
      <c r="Q17" s="436">
        <f t="shared" si="6"/>
        <v>-333.6</v>
      </c>
      <c r="R17" s="437">
        <f t="shared" si="6"/>
        <v>-355.7</v>
      </c>
      <c r="S17" s="406">
        <f t="shared" si="6"/>
        <v>-319.89999999999998</v>
      </c>
      <c r="T17" s="406">
        <f t="shared" si="6"/>
        <v>-338</v>
      </c>
      <c r="U17" s="406">
        <f t="shared" si="6"/>
        <v>-355.20000000000005</v>
      </c>
      <c r="V17" s="406">
        <f t="shared" si="6"/>
        <v>-523.99999999999989</v>
      </c>
      <c r="W17" s="405">
        <f t="shared" si="6"/>
        <v>-514.19999999999993</v>
      </c>
      <c r="X17" s="406">
        <f t="shared" si="6"/>
        <v>-498.1</v>
      </c>
      <c r="Y17" s="406">
        <f t="shared" si="6"/>
        <v>-503.70000000000005</v>
      </c>
      <c r="Z17" s="510">
        <f t="shared" si="6"/>
        <v>-488.1</v>
      </c>
      <c r="AA17" s="406">
        <f t="shared" si="6"/>
        <v>-494.9</v>
      </c>
      <c r="AB17" s="406">
        <f t="shared" si="6"/>
        <v>-486.00000000000011</v>
      </c>
      <c r="AC17" s="406">
        <f t="shared" si="6"/>
        <v>-477.20000000000016</v>
      </c>
      <c r="AD17" s="510">
        <f t="shared" si="6"/>
        <v>-469.80000000000007</v>
      </c>
      <c r="AE17" s="405">
        <f t="shared" si="6"/>
        <v>-480.6</v>
      </c>
      <c r="AF17" s="406">
        <f t="shared" si="6"/>
        <v>-488</v>
      </c>
      <c r="AG17" s="406">
        <f t="shared" si="6"/>
        <v>-514.09999999999991</v>
      </c>
      <c r="AH17" s="510">
        <f t="shared" si="6"/>
        <v>-508.09999999999997</v>
      </c>
      <c r="AI17" s="406">
        <f t="shared" si="6"/>
        <v>-545.39999999999986</v>
      </c>
      <c r="AJ17" s="406">
        <f t="shared" si="6"/>
        <v>-484.3</v>
      </c>
      <c r="AK17" s="406">
        <f t="shared" si="6"/>
        <v>-543.79999999999995</v>
      </c>
      <c r="AL17" s="510">
        <f t="shared" si="6"/>
        <v>-559</v>
      </c>
      <c r="AM17" s="406">
        <f t="shared" si="6"/>
        <v>-546.70000000000005</v>
      </c>
      <c r="AN17" s="406">
        <f t="shared" si="6"/>
        <v>107.09999999999994</v>
      </c>
      <c r="AO17" s="406">
        <f t="shared" si="6"/>
        <v>82.199999999999932</v>
      </c>
      <c r="AP17" s="510">
        <f t="shared" si="6"/>
        <v>123.7</v>
      </c>
      <c r="AQ17" s="405">
        <f t="shared" si="6"/>
        <v>99.999999999999986</v>
      </c>
      <c r="AR17" s="406">
        <f t="shared" si="6"/>
        <v>69.300000000000011</v>
      </c>
      <c r="AS17" s="406">
        <f t="shared" si="6"/>
        <v>71.499999999999957</v>
      </c>
      <c r="AT17" s="406">
        <f t="shared" si="6"/>
        <v>67.800000000000011</v>
      </c>
      <c r="AU17" s="405">
        <f t="shared" si="6"/>
        <v>301.19999999999993</v>
      </c>
      <c r="AV17" s="406">
        <f t="shared" ref="AV17:AW17" si="7">SUM(AV18,AV26,AV27)</f>
        <v>245.20000000000002</v>
      </c>
      <c r="AW17" s="406">
        <f t="shared" si="7"/>
        <v>291.50000000000006</v>
      </c>
      <c r="AX17" s="406">
        <f t="shared" ref="AX17" si="8">SUM(AX18,AX26,AX27)</f>
        <v>236.2</v>
      </c>
      <c r="AY17" s="405">
        <f t="shared" ref="AY17:AZ17" si="9">SUM(AY18,AY26,AY27)</f>
        <v>762.89999999999986</v>
      </c>
      <c r="AZ17" s="406">
        <f t="shared" si="9"/>
        <v>752.2</v>
      </c>
      <c r="BA17" s="406">
        <f t="shared" ref="BA17:BC17" si="10">SUM(BA18,BA26,BA27)</f>
        <v>699.10000000000014</v>
      </c>
      <c r="BB17" s="406">
        <f t="shared" si="10"/>
        <v>1712.4</v>
      </c>
      <c r="BC17" s="405">
        <f t="shared" si="10"/>
        <v>1711.7999999999997</v>
      </c>
      <c r="BD17" s="406">
        <f t="shared" ref="BD17:BE17" si="11">SUM(BD18,BD26,BD27)</f>
        <v>2065.1610160564483</v>
      </c>
      <c r="BE17" s="406">
        <f t="shared" si="11"/>
        <v>2093.9</v>
      </c>
      <c r="BF17" s="406">
        <f t="shared" ref="BF17" si="12">SUM(BF18,BF26,BF27)</f>
        <v>2127.8000000000002</v>
      </c>
    </row>
    <row r="18" spans="1:58" s="586" customFormat="1" ht="11.25">
      <c r="A18" s="598" t="s">
        <v>375</v>
      </c>
      <c r="B18" s="598" t="s">
        <v>360</v>
      </c>
      <c r="C18" s="435">
        <f t="shared" ref="C18:Q18" si="13">SUM(C20:C22)</f>
        <v>-325.7</v>
      </c>
      <c r="D18" s="436">
        <f t="shared" si="13"/>
        <v>-319.3</v>
      </c>
      <c r="E18" s="436">
        <f t="shared" si="13"/>
        <v>-319</v>
      </c>
      <c r="F18" s="437">
        <f t="shared" si="13"/>
        <v>-318.8</v>
      </c>
      <c r="G18" s="435">
        <f t="shared" si="13"/>
        <v>-346.1</v>
      </c>
      <c r="H18" s="436">
        <f t="shared" si="13"/>
        <v>-350.1</v>
      </c>
      <c r="I18" s="436">
        <f t="shared" si="13"/>
        <v>-345.6</v>
      </c>
      <c r="J18" s="437">
        <f t="shared" si="13"/>
        <v>-351.5</v>
      </c>
      <c r="K18" s="436">
        <f t="shared" si="13"/>
        <v>-350.1</v>
      </c>
      <c r="L18" s="436">
        <f t="shared" si="13"/>
        <v>-356</v>
      </c>
      <c r="M18" s="436">
        <f t="shared" si="13"/>
        <v>-354.59999999999997</v>
      </c>
      <c r="N18" s="436">
        <f t="shared" si="13"/>
        <v>-364.5</v>
      </c>
      <c r="O18" s="435">
        <f t="shared" si="13"/>
        <v>-360.2</v>
      </c>
      <c r="P18" s="436">
        <f t="shared" si="13"/>
        <v>-365.9</v>
      </c>
      <c r="Q18" s="436">
        <f t="shared" si="13"/>
        <v>-345.8</v>
      </c>
      <c r="R18" s="437">
        <f>SUM(R20:R22)</f>
        <v>-374.09999999999997</v>
      </c>
      <c r="S18" s="406">
        <f>SUM(S20:S22)</f>
        <v>-378.2</v>
      </c>
      <c r="T18" s="406">
        <f>SUM(T20:T22)</f>
        <v>-377.8</v>
      </c>
      <c r="U18" s="406">
        <f>SUM(U20:U22)</f>
        <v>-378.8</v>
      </c>
      <c r="V18" s="406">
        <f>SUM(V20:V22)</f>
        <v>-523.4</v>
      </c>
      <c r="W18" s="405">
        <f t="shared" ref="W18:AB18" si="14">SUM(W20:W22)</f>
        <v>-458.09999999999997</v>
      </c>
      <c r="X18" s="406">
        <f t="shared" si="14"/>
        <v>-449.5</v>
      </c>
      <c r="Y18" s="406">
        <f t="shared" si="14"/>
        <v>-452.6</v>
      </c>
      <c r="Z18" s="510">
        <f t="shared" si="14"/>
        <v>-447.09999999999997</v>
      </c>
      <c r="AA18" s="406">
        <f t="shared" si="14"/>
        <v>-443.1</v>
      </c>
      <c r="AB18" s="406">
        <f t="shared" si="14"/>
        <v>-445.2000000000001</v>
      </c>
      <c r="AC18" s="406">
        <f t="shared" ref="AC18:AH18" si="15">SUM(AC20:AC22)</f>
        <v>-434.10000000000014</v>
      </c>
      <c r="AD18" s="510">
        <f t="shared" si="15"/>
        <v>-435.20000000000005</v>
      </c>
      <c r="AE18" s="405">
        <f t="shared" si="15"/>
        <v>-480.6</v>
      </c>
      <c r="AF18" s="406">
        <f t="shared" si="15"/>
        <v>-488</v>
      </c>
      <c r="AG18" s="406">
        <f t="shared" si="15"/>
        <v>-514.09999999999991</v>
      </c>
      <c r="AH18" s="510">
        <f t="shared" si="15"/>
        <v>-508.09999999999997</v>
      </c>
      <c r="AI18" s="406">
        <f>SUM(AI20:AI22)</f>
        <v>-545.39999999999986</v>
      </c>
      <c r="AJ18" s="406">
        <f>SUM(AJ20:AJ22)</f>
        <v>-484.3</v>
      </c>
      <c r="AK18" s="406">
        <f>SUM(AK20:AK22)</f>
        <v>-543.79999999999995</v>
      </c>
      <c r="AL18" s="510">
        <f>SUM(AL20:AL22)</f>
        <v>-559</v>
      </c>
      <c r="AM18" s="406">
        <f>SUM(AM20:AM22)</f>
        <v>-546.70000000000005</v>
      </c>
      <c r="AN18" s="406">
        <f>SUM(AN19:AN22)</f>
        <v>107.09999999999994</v>
      </c>
      <c r="AO18" s="406">
        <f>SUM(AO19:AO22)</f>
        <v>82.199999999999932</v>
      </c>
      <c r="AP18" s="510">
        <f t="shared" ref="AP18:AU18" si="16">SUM(AP19:AP24)</f>
        <v>123.7</v>
      </c>
      <c r="AQ18" s="405">
        <f t="shared" si="16"/>
        <v>99.999999999999986</v>
      </c>
      <c r="AR18" s="406">
        <f t="shared" si="16"/>
        <v>69.300000000000011</v>
      </c>
      <c r="AS18" s="406">
        <f t="shared" si="16"/>
        <v>71.499999999999957</v>
      </c>
      <c r="AT18" s="406">
        <f t="shared" si="16"/>
        <v>67.800000000000011</v>
      </c>
      <c r="AU18" s="405">
        <f t="shared" si="16"/>
        <v>301.19999999999993</v>
      </c>
      <c r="AV18" s="406">
        <f t="shared" ref="AV18:AW18" si="17">SUM(AV19:AV24)</f>
        <v>245.20000000000002</v>
      </c>
      <c r="AW18" s="406">
        <f t="shared" si="17"/>
        <v>291.50000000000006</v>
      </c>
      <c r="AX18" s="406">
        <f t="shared" ref="AX18" si="18">SUM(AX19:AX24)</f>
        <v>236.2</v>
      </c>
      <c r="AY18" s="405">
        <f t="shared" ref="AY18:AZ18" si="19">SUM(AY19:AY24)</f>
        <v>762.89999999999986</v>
      </c>
      <c r="AZ18" s="406">
        <f t="shared" si="19"/>
        <v>752.2</v>
      </c>
      <c r="BA18" s="406">
        <f t="shared" ref="BA18:BC18" si="20">SUM(BA19:BA24)</f>
        <v>699.10000000000014</v>
      </c>
      <c r="BB18" s="406">
        <f t="shared" si="20"/>
        <v>1712.4</v>
      </c>
      <c r="BC18" s="405">
        <f t="shared" si="20"/>
        <v>1711.7999999999997</v>
      </c>
      <c r="BD18" s="406">
        <f t="shared" ref="BD18" si="21">SUM(BD19:BD24)</f>
        <v>2065.1610160564483</v>
      </c>
      <c r="BE18" s="406">
        <f>SUM(BE19:BE25)</f>
        <v>2093.9</v>
      </c>
      <c r="BF18" s="406">
        <f>SUM(BF19:BF25)</f>
        <v>2127.8000000000002</v>
      </c>
    </row>
    <row r="19" spans="1:58" s="586" customFormat="1" ht="11.25">
      <c r="A19" s="595" t="s">
        <v>536</v>
      </c>
      <c r="B19" s="599" t="s">
        <v>535</v>
      </c>
      <c r="C19" s="578" t="s">
        <v>332</v>
      </c>
      <c r="D19" s="576" t="s">
        <v>332</v>
      </c>
      <c r="E19" s="576" t="s">
        <v>332</v>
      </c>
      <c r="F19" s="577" t="s">
        <v>332</v>
      </c>
      <c r="G19" s="578" t="s">
        <v>332</v>
      </c>
      <c r="H19" s="576" t="s">
        <v>332</v>
      </c>
      <c r="I19" s="576" t="s">
        <v>332</v>
      </c>
      <c r="J19" s="577" t="s">
        <v>332</v>
      </c>
      <c r="K19" s="576" t="s">
        <v>332</v>
      </c>
      <c r="L19" s="576" t="s">
        <v>332</v>
      </c>
      <c r="M19" s="576" t="s">
        <v>332</v>
      </c>
      <c r="N19" s="576" t="s">
        <v>332</v>
      </c>
      <c r="O19" s="578" t="s">
        <v>332</v>
      </c>
      <c r="P19" s="576" t="s">
        <v>332</v>
      </c>
      <c r="Q19" s="576" t="s">
        <v>332</v>
      </c>
      <c r="R19" s="577" t="s">
        <v>332</v>
      </c>
      <c r="S19" s="576" t="s">
        <v>332</v>
      </c>
      <c r="T19" s="576" t="s">
        <v>332</v>
      </c>
      <c r="U19" s="576" t="s">
        <v>332</v>
      </c>
      <c r="V19" s="576" t="s">
        <v>332</v>
      </c>
      <c r="W19" s="578" t="s">
        <v>332</v>
      </c>
      <c r="X19" s="576" t="s">
        <v>332</v>
      </c>
      <c r="Y19" s="576" t="s">
        <v>332</v>
      </c>
      <c r="Z19" s="577" t="s">
        <v>332</v>
      </c>
      <c r="AA19" s="576" t="s">
        <v>332</v>
      </c>
      <c r="AB19" s="576" t="s">
        <v>332</v>
      </c>
      <c r="AC19" s="576" t="s">
        <v>332</v>
      </c>
      <c r="AD19" s="577" t="s">
        <v>332</v>
      </c>
      <c r="AE19" s="578" t="s">
        <v>332</v>
      </c>
      <c r="AF19" s="576" t="s">
        <v>332</v>
      </c>
      <c r="AG19" s="576" t="s">
        <v>332</v>
      </c>
      <c r="AH19" s="577" t="s">
        <v>332</v>
      </c>
      <c r="AI19" s="576" t="s">
        <v>332</v>
      </c>
      <c r="AJ19" s="576" t="s">
        <v>332</v>
      </c>
      <c r="AK19" s="576" t="s">
        <v>332</v>
      </c>
      <c r="AL19" s="577" t="s">
        <v>332</v>
      </c>
      <c r="AM19" s="576" t="s">
        <v>332</v>
      </c>
      <c r="AN19" s="576">
        <v>663.8</v>
      </c>
      <c r="AO19" s="576">
        <v>646.79999999999995</v>
      </c>
      <c r="AP19" s="577">
        <v>663.6</v>
      </c>
      <c r="AQ19" s="578">
        <v>632.9</v>
      </c>
      <c r="AR19" s="576">
        <v>633.9</v>
      </c>
      <c r="AS19" s="576">
        <v>646.4</v>
      </c>
      <c r="AT19" s="576">
        <v>625.6</v>
      </c>
      <c r="AU19" s="578">
        <v>631.29999999999995</v>
      </c>
      <c r="AV19" s="576">
        <v>654.20000000000005</v>
      </c>
      <c r="AW19" s="576">
        <v>640.70000000000005</v>
      </c>
      <c r="AX19" s="576">
        <v>645</v>
      </c>
      <c r="AY19" s="578">
        <v>1075</v>
      </c>
      <c r="AZ19" s="576">
        <v>1063</v>
      </c>
      <c r="BA19" s="576">
        <v>1093.4000000000001</v>
      </c>
      <c r="BB19" s="576">
        <v>2129.3000000000002</v>
      </c>
      <c r="BC19" s="578">
        <v>2276.1999999999998</v>
      </c>
      <c r="BD19" s="576">
        <v>2233</v>
      </c>
      <c r="BE19" s="576">
        <v>2263.4</v>
      </c>
      <c r="BF19" s="576">
        <v>2307.4</v>
      </c>
    </row>
    <row r="20" spans="1:58" s="586" customFormat="1" ht="11.25">
      <c r="A20" s="595" t="s">
        <v>403</v>
      </c>
      <c r="B20" s="595" t="s">
        <v>361</v>
      </c>
      <c r="C20" s="452">
        <v>-325.7</v>
      </c>
      <c r="D20" s="453">
        <v>-319.3</v>
      </c>
      <c r="E20" s="453">
        <v>-319</v>
      </c>
      <c r="F20" s="454">
        <v>-318.8</v>
      </c>
      <c r="G20" s="452">
        <v>-315.8</v>
      </c>
      <c r="H20" s="453">
        <v>-311</v>
      </c>
      <c r="I20" s="453">
        <v>-309.5</v>
      </c>
      <c r="J20" s="454">
        <v>-316.2</v>
      </c>
      <c r="K20" s="453">
        <v>-313.5</v>
      </c>
      <c r="L20" s="453">
        <v>-317.8</v>
      </c>
      <c r="M20" s="453">
        <v>-316.39999999999998</v>
      </c>
      <c r="N20" s="453">
        <v>-327.3</v>
      </c>
      <c r="O20" s="452">
        <v>-322.89999999999998</v>
      </c>
      <c r="P20" s="453">
        <v>-325.89999999999998</v>
      </c>
      <c r="Q20" s="453">
        <v>-325.8</v>
      </c>
      <c r="R20" s="454">
        <v>-342.2</v>
      </c>
      <c r="S20" s="576">
        <v>-342</v>
      </c>
      <c r="T20" s="576">
        <v>-357.8</v>
      </c>
      <c r="U20" s="576">
        <v>-355.6</v>
      </c>
      <c r="V20" s="576">
        <v>-362</v>
      </c>
      <c r="W20" s="578">
        <v>-360.4</v>
      </c>
      <c r="X20" s="576">
        <v>-358.8</v>
      </c>
      <c r="Y20" s="576">
        <v>-361.1</v>
      </c>
      <c r="Z20" s="577">
        <v>-361.59999999999997</v>
      </c>
      <c r="AA20" s="576">
        <v>-353.6</v>
      </c>
      <c r="AB20" s="576">
        <v>-353.10000000000008</v>
      </c>
      <c r="AC20" s="576">
        <v>-352.00000000000011</v>
      </c>
      <c r="AD20" s="577">
        <v>-365.90000000000003</v>
      </c>
      <c r="AE20" s="578">
        <v>-355.5</v>
      </c>
      <c r="AF20" s="576">
        <v>-354.1</v>
      </c>
      <c r="AG20" s="576">
        <v>-355.89999999999992</v>
      </c>
      <c r="AH20" s="577">
        <v>-371.4</v>
      </c>
      <c r="AI20" s="576">
        <v>-368.19999999999993</v>
      </c>
      <c r="AJ20" s="576">
        <v>-373</v>
      </c>
      <c r="AK20" s="576">
        <v>-390.7</v>
      </c>
      <c r="AL20" s="577">
        <v>-421</v>
      </c>
      <c r="AM20" s="576">
        <v>-418.1</v>
      </c>
      <c r="AN20" s="576">
        <v>-426.1</v>
      </c>
      <c r="AO20" s="576">
        <v>-430.1</v>
      </c>
      <c r="AP20" s="577">
        <v>-423.6</v>
      </c>
      <c r="AQ20" s="578">
        <v>-411.7</v>
      </c>
      <c r="AR20" s="576">
        <v>-416.4</v>
      </c>
      <c r="AS20" s="576">
        <v>-415.1</v>
      </c>
      <c r="AT20" s="576">
        <v>-422.8</v>
      </c>
      <c r="AU20" s="578">
        <v>-418.3</v>
      </c>
      <c r="AV20" s="576">
        <v>-421.1</v>
      </c>
      <c r="AW20" s="576">
        <v>-424</v>
      </c>
      <c r="AX20" s="576">
        <v>-435</v>
      </c>
      <c r="AY20" s="578">
        <v>-428.5</v>
      </c>
      <c r="AZ20" s="576">
        <v>-410.8</v>
      </c>
      <c r="BA20" s="576">
        <v>-518.4</v>
      </c>
      <c r="BB20" s="576">
        <v>-521.5</v>
      </c>
      <c r="BC20" s="578">
        <v>-516.9</v>
      </c>
      <c r="BD20" s="576">
        <v>-514.29196290000004</v>
      </c>
      <c r="BE20" s="576">
        <v>-514</v>
      </c>
      <c r="BF20" s="576">
        <v>-466.9</v>
      </c>
    </row>
    <row r="21" spans="1:58" s="586" customFormat="1" ht="11.25">
      <c r="A21" s="595" t="s">
        <v>485</v>
      </c>
      <c r="B21" s="595" t="s">
        <v>484</v>
      </c>
      <c r="C21" s="452">
        <v>0</v>
      </c>
      <c r="D21" s="453">
        <v>0</v>
      </c>
      <c r="E21" s="453">
        <v>0</v>
      </c>
      <c r="F21" s="454">
        <v>0</v>
      </c>
      <c r="G21" s="452">
        <v>-30.3</v>
      </c>
      <c r="H21" s="453">
        <v>-39.1</v>
      </c>
      <c r="I21" s="453">
        <v>-36.1</v>
      </c>
      <c r="J21" s="454">
        <v>-35.299999999999997</v>
      </c>
      <c r="K21" s="453">
        <v>-36.6</v>
      </c>
      <c r="L21" s="453">
        <v>-38.200000000000003</v>
      </c>
      <c r="M21" s="453">
        <v>-38.200000000000003</v>
      </c>
      <c r="N21" s="453">
        <v>-37.200000000000003</v>
      </c>
      <c r="O21" s="452">
        <v>-37.299999999999997</v>
      </c>
      <c r="P21" s="453">
        <v>-40</v>
      </c>
      <c r="Q21" s="453">
        <v>-20</v>
      </c>
      <c r="R21" s="454">
        <v>-31.9</v>
      </c>
      <c r="S21" s="576">
        <v>-36.200000000000003</v>
      </c>
      <c r="T21" s="576">
        <v>-20</v>
      </c>
      <c r="U21" s="576">
        <v>-23.2</v>
      </c>
      <c r="V21" s="576">
        <v>-20</v>
      </c>
      <c r="W21" s="578">
        <v>-20</v>
      </c>
      <c r="X21" s="576">
        <v>-20</v>
      </c>
      <c r="Y21" s="576">
        <v>-20</v>
      </c>
      <c r="Z21" s="577">
        <v>-20</v>
      </c>
      <c r="AA21" s="576">
        <v>-20</v>
      </c>
      <c r="AB21" s="576">
        <v>-20</v>
      </c>
      <c r="AC21" s="576">
        <v>-20</v>
      </c>
      <c r="AD21" s="577">
        <v>-20</v>
      </c>
      <c r="AE21" s="578">
        <v>0</v>
      </c>
      <c r="AF21" s="576">
        <v>0</v>
      </c>
      <c r="AG21" s="576">
        <v>0</v>
      </c>
      <c r="AH21" s="577">
        <v>0</v>
      </c>
      <c r="AI21" s="576">
        <v>0</v>
      </c>
      <c r="AJ21" s="576" t="s">
        <v>332</v>
      </c>
      <c r="AK21" s="576" t="s">
        <v>332</v>
      </c>
      <c r="AL21" s="577" t="s">
        <v>332</v>
      </c>
      <c r="AM21" s="576">
        <v>0</v>
      </c>
      <c r="AN21" s="576" t="s">
        <v>332</v>
      </c>
      <c r="AO21" s="576" t="s">
        <v>332</v>
      </c>
      <c r="AP21" s="577" t="s">
        <v>332</v>
      </c>
      <c r="AQ21" s="600" t="s">
        <v>332</v>
      </c>
      <c r="AR21" s="576" t="s">
        <v>332</v>
      </c>
      <c r="AS21" s="576" t="s">
        <v>332</v>
      </c>
      <c r="AT21" s="576" t="s">
        <v>332</v>
      </c>
      <c r="AU21" s="600" t="s">
        <v>332</v>
      </c>
      <c r="AV21" s="601" t="s">
        <v>332</v>
      </c>
      <c r="AW21" s="601" t="s">
        <v>332</v>
      </c>
      <c r="AX21" s="601" t="s">
        <v>332</v>
      </c>
      <c r="AY21" s="600" t="s">
        <v>332</v>
      </c>
      <c r="AZ21" s="601" t="s">
        <v>332</v>
      </c>
      <c r="BA21" s="601" t="s">
        <v>332</v>
      </c>
      <c r="BB21" s="601" t="s">
        <v>332</v>
      </c>
      <c r="BC21" s="600" t="s">
        <v>332</v>
      </c>
      <c r="BD21" s="601" t="s">
        <v>332</v>
      </c>
      <c r="BE21" s="601" t="s">
        <v>332</v>
      </c>
      <c r="BF21" s="601"/>
    </row>
    <row r="22" spans="1:58" s="586" customFormat="1" ht="22.5">
      <c r="A22" s="595" t="s">
        <v>486</v>
      </c>
      <c r="B22" s="602" t="s">
        <v>498</v>
      </c>
      <c r="C22" s="452">
        <v>0</v>
      </c>
      <c r="D22" s="453">
        <v>0</v>
      </c>
      <c r="E22" s="453">
        <v>0</v>
      </c>
      <c r="F22" s="454">
        <v>0</v>
      </c>
      <c r="G22" s="452">
        <v>0</v>
      </c>
      <c r="H22" s="453">
        <v>0</v>
      </c>
      <c r="I22" s="453">
        <v>0</v>
      </c>
      <c r="J22" s="454">
        <v>0</v>
      </c>
      <c r="K22" s="453">
        <v>0</v>
      </c>
      <c r="L22" s="453">
        <v>0</v>
      </c>
      <c r="M22" s="453">
        <v>0</v>
      </c>
      <c r="N22" s="453">
        <v>0</v>
      </c>
      <c r="O22" s="452">
        <v>0</v>
      </c>
      <c r="P22" s="453">
        <v>0</v>
      </c>
      <c r="Q22" s="453">
        <v>0</v>
      </c>
      <c r="R22" s="454">
        <v>0</v>
      </c>
      <c r="S22" s="576">
        <v>0</v>
      </c>
      <c r="T22" s="576">
        <v>0</v>
      </c>
      <c r="U22" s="576">
        <v>0</v>
      </c>
      <c r="V22" s="576">
        <v>-141.39999999999998</v>
      </c>
      <c r="W22" s="578">
        <v>-77.7</v>
      </c>
      <c r="X22" s="576">
        <v>-70.7</v>
      </c>
      <c r="Y22" s="576">
        <v>-71.5</v>
      </c>
      <c r="Z22" s="577">
        <v>-65.5</v>
      </c>
      <c r="AA22" s="576">
        <v>-69.5</v>
      </c>
      <c r="AB22" s="576">
        <v>-72.100000000000009</v>
      </c>
      <c r="AC22" s="576">
        <v>-62.099999999999994</v>
      </c>
      <c r="AD22" s="577">
        <v>-49.3</v>
      </c>
      <c r="AE22" s="578">
        <v>-125.1</v>
      </c>
      <c r="AF22" s="576">
        <v>-133.9</v>
      </c>
      <c r="AG22" s="576">
        <v>-158.19999999999999</v>
      </c>
      <c r="AH22" s="577">
        <v>-136.69999999999999</v>
      </c>
      <c r="AI22" s="576">
        <v>-177.2</v>
      </c>
      <c r="AJ22" s="576">
        <v>-111.3</v>
      </c>
      <c r="AK22" s="576">
        <v>-153.1</v>
      </c>
      <c r="AL22" s="577">
        <v>-138</v>
      </c>
      <c r="AM22" s="576">
        <v>-128.6</v>
      </c>
      <c r="AN22" s="576">
        <v>-130.6</v>
      </c>
      <c r="AO22" s="576">
        <v>-134.5</v>
      </c>
      <c r="AP22" s="577">
        <v>-115.7</v>
      </c>
      <c r="AQ22" s="578">
        <v>-120.8</v>
      </c>
      <c r="AR22" s="576">
        <v>-147.19999999999999</v>
      </c>
      <c r="AS22" s="576">
        <v>-158.6</v>
      </c>
      <c r="AT22" s="576">
        <v>-134.9</v>
      </c>
      <c r="AU22" s="578">
        <v>-136</v>
      </c>
      <c r="AV22" s="576">
        <v>-210.6</v>
      </c>
      <c r="AW22" s="576">
        <v>-126.1</v>
      </c>
      <c r="AX22" s="576">
        <v>-185.5</v>
      </c>
      <c r="AY22" s="578">
        <v>-142.30000000000001</v>
      </c>
      <c r="AZ22" s="576">
        <v>-148.80000000000001</v>
      </c>
      <c r="BA22" s="576">
        <v>-105.7</v>
      </c>
      <c r="BB22" s="576">
        <v>-67.400000000000006</v>
      </c>
      <c r="BC22" s="578">
        <v>-104</v>
      </c>
      <c r="BD22" s="576">
        <v>0</v>
      </c>
      <c r="BE22" s="576">
        <v>0</v>
      </c>
      <c r="BF22" s="576">
        <v>0</v>
      </c>
    </row>
    <row r="23" spans="1:58" s="586" customFormat="1" ht="11.25">
      <c r="A23" s="595" t="s">
        <v>565</v>
      </c>
      <c r="B23" s="603" t="s">
        <v>564</v>
      </c>
      <c r="C23" s="452"/>
      <c r="D23" s="453"/>
      <c r="E23" s="453"/>
      <c r="F23" s="454"/>
      <c r="G23" s="452"/>
      <c r="H23" s="453"/>
      <c r="I23" s="453"/>
      <c r="J23" s="454"/>
      <c r="K23" s="453"/>
      <c r="L23" s="453"/>
      <c r="M23" s="453"/>
      <c r="N23" s="453"/>
      <c r="O23" s="452"/>
      <c r="P23" s="453"/>
      <c r="Q23" s="453"/>
      <c r="R23" s="454"/>
      <c r="S23" s="576"/>
      <c r="T23" s="576"/>
      <c r="U23" s="576"/>
      <c r="V23" s="576"/>
      <c r="W23" s="578"/>
      <c r="X23" s="576"/>
      <c r="Y23" s="576"/>
      <c r="Z23" s="577"/>
      <c r="AA23" s="576"/>
      <c r="AB23" s="576"/>
      <c r="AC23" s="576"/>
      <c r="AD23" s="577"/>
      <c r="AE23" s="578"/>
      <c r="AF23" s="576"/>
      <c r="AG23" s="576"/>
      <c r="AH23" s="577"/>
      <c r="AI23" s="576"/>
      <c r="AJ23" s="576"/>
      <c r="AK23" s="576"/>
      <c r="AL23" s="577"/>
      <c r="AM23" s="576"/>
      <c r="AN23" s="576"/>
      <c r="AO23" s="576"/>
      <c r="AP23" s="577"/>
      <c r="AQ23" s="578"/>
      <c r="AR23" s="576"/>
      <c r="AS23" s="576"/>
      <c r="AT23" s="576"/>
      <c r="AU23" s="578">
        <v>224.5</v>
      </c>
      <c r="AV23" s="576">
        <v>224.5</v>
      </c>
      <c r="AW23" s="576">
        <v>201.4</v>
      </c>
      <c r="AX23" s="576">
        <v>215</v>
      </c>
      <c r="AY23" s="578">
        <v>259.89999999999998</v>
      </c>
      <c r="AZ23" s="576">
        <v>267.3</v>
      </c>
      <c r="BA23" s="576">
        <v>256.3</v>
      </c>
      <c r="BB23" s="576">
        <v>220.3</v>
      </c>
      <c r="BC23" s="578">
        <v>181.5</v>
      </c>
      <c r="BD23" s="576">
        <v>370.19456963618819</v>
      </c>
      <c r="BE23" s="576">
        <v>370</v>
      </c>
      <c r="BF23" s="576">
        <v>361.8</v>
      </c>
    </row>
    <row r="24" spans="1:58" s="586" customFormat="1" ht="11.25">
      <c r="A24" s="595" t="s">
        <v>566</v>
      </c>
      <c r="B24" s="603" t="s">
        <v>902</v>
      </c>
      <c r="C24" s="452"/>
      <c r="D24" s="453"/>
      <c r="E24" s="453"/>
      <c r="F24" s="454"/>
      <c r="G24" s="452"/>
      <c r="H24" s="453"/>
      <c r="I24" s="453"/>
      <c r="J24" s="454"/>
      <c r="K24" s="453"/>
      <c r="L24" s="453"/>
      <c r="M24" s="453"/>
      <c r="N24" s="453"/>
      <c r="O24" s="452"/>
      <c r="P24" s="453"/>
      <c r="Q24" s="453"/>
      <c r="R24" s="454"/>
      <c r="S24" s="576"/>
      <c r="T24" s="576"/>
      <c r="U24" s="576"/>
      <c r="V24" s="576"/>
      <c r="W24" s="578"/>
      <c r="X24" s="576"/>
      <c r="Y24" s="576"/>
      <c r="Z24" s="577"/>
      <c r="AA24" s="576"/>
      <c r="AB24" s="576"/>
      <c r="AC24" s="576"/>
      <c r="AD24" s="577"/>
      <c r="AE24" s="578"/>
      <c r="AF24" s="576"/>
      <c r="AG24" s="576"/>
      <c r="AH24" s="577"/>
      <c r="AI24" s="576"/>
      <c r="AJ24" s="576"/>
      <c r="AK24" s="576"/>
      <c r="AL24" s="577"/>
      <c r="AM24" s="576"/>
      <c r="AN24" s="576"/>
      <c r="AO24" s="576"/>
      <c r="AP24" s="577">
        <v>-0.6</v>
      </c>
      <c r="AQ24" s="578">
        <v>-0.4</v>
      </c>
      <c r="AR24" s="576">
        <v>-1</v>
      </c>
      <c r="AS24" s="576">
        <v>-1.2</v>
      </c>
      <c r="AT24" s="576">
        <v>-0.1</v>
      </c>
      <c r="AU24" s="578">
        <v>-0.3</v>
      </c>
      <c r="AV24" s="576">
        <v>-1.8</v>
      </c>
      <c r="AW24" s="576">
        <v>-0.5</v>
      </c>
      <c r="AX24" s="576">
        <v>-3.3</v>
      </c>
      <c r="AY24" s="578">
        <v>-1.2</v>
      </c>
      <c r="AZ24" s="576">
        <v>-18.5</v>
      </c>
      <c r="BA24" s="576">
        <v>-26.5</v>
      </c>
      <c r="BB24" s="576">
        <v>-48.3</v>
      </c>
      <c r="BC24" s="578">
        <v>-125</v>
      </c>
      <c r="BD24" s="576">
        <v>-23.74159067974027</v>
      </c>
      <c r="BE24" s="576">
        <v>-25.5</v>
      </c>
      <c r="BF24" s="576">
        <v>-24.9</v>
      </c>
    </row>
    <row r="25" spans="1:58" s="586" customFormat="1" ht="22.5">
      <c r="A25" s="595" t="s">
        <v>908</v>
      </c>
      <c r="B25" s="603" t="s">
        <v>905</v>
      </c>
      <c r="C25" s="452"/>
      <c r="D25" s="453"/>
      <c r="E25" s="453"/>
      <c r="F25" s="454"/>
      <c r="G25" s="452"/>
      <c r="H25" s="453"/>
      <c r="I25" s="453"/>
      <c r="J25" s="454"/>
      <c r="K25" s="453"/>
      <c r="L25" s="453"/>
      <c r="M25" s="453"/>
      <c r="N25" s="453"/>
      <c r="O25" s="452"/>
      <c r="P25" s="453"/>
      <c r="Q25" s="453"/>
      <c r="R25" s="454"/>
      <c r="S25" s="576"/>
      <c r="T25" s="576"/>
      <c r="U25" s="576"/>
      <c r="V25" s="576"/>
      <c r="W25" s="578"/>
      <c r="X25" s="576"/>
      <c r="Y25" s="576"/>
      <c r="Z25" s="577"/>
      <c r="AA25" s="576"/>
      <c r="AB25" s="576"/>
      <c r="AC25" s="576"/>
      <c r="AD25" s="577"/>
      <c r="AE25" s="578"/>
      <c r="AF25" s="576"/>
      <c r="AG25" s="576"/>
      <c r="AH25" s="577"/>
      <c r="AI25" s="576"/>
      <c r="AJ25" s="576"/>
      <c r="AK25" s="576"/>
      <c r="AL25" s="577"/>
      <c r="AM25" s="576"/>
      <c r="AN25" s="576"/>
      <c r="AO25" s="576"/>
      <c r="AP25" s="577">
        <v>0</v>
      </c>
      <c r="AQ25" s="578">
        <v>0</v>
      </c>
      <c r="AR25" s="576">
        <v>0</v>
      </c>
      <c r="AS25" s="576">
        <v>0</v>
      </c>
      <c r="AT25" s="576">
        <v>0</v>
      </c>
      <c r="AU25" s="578">
        <v>0</v>
      </c>
      <c r="AV25" s="576">
        <v>0</v>
      </c>
      <c r="AW25" s="576">
        <v>0</v>
      </c>
      <c r="AX25" s="576">
        <v>0</v>
      </c>
      <c r="AY25" s="578">
        <v>0</v>
      </c>
      <c r="AZ25" s="576">
        <v>0</v>
      </c>
      <c r="BA25" s="576">
        <v>0</v>
      </c>
      <c r="BB25" s="576">
        <v>0</v>
      </c>
      <c r="BC25" s="578">
        <v>0</v>
      </c>
      <c r="BD25" s="576">
        <v>0</v>
      </c>
      <c r="BE25" s="576">
        <v>0</v>
      </c>
      <c r="BF25" s="576">
        <v>-49.6</v>
      </c>
    </row>
    <row r="26" spans="1:58" s="586" customFormat="1" ht="11.25">
      <c r="A26" s="598" t="s">
        <v>376</v>
      </c>
      <c r="B26" s="598" t="s">
        <v>362</v>
      </c>
      <c r="C26" s="435">
        <v>0</v>
      </c>
      <c r="D26" s="436">
        <v>0</v>
      </c>
      <c r="E26" s="436">
        <v>0</v>
      </c>
      <c r="F26" s="437">
        <v>0</v>
      </c>
      <c r="G26" s="435">
        <v>-9.6999999999999993</v>
      </c>
      <c r="H26" s="436">
        <v>-0.9</v>
      </c>
      <c r="I26" s="436">
        <v>-3.9</v>
      </c>
      <c r="J26" s="437">
        <v>-4.7</v>
      </c>
      <c r="K26" s="436">
        <v>-3.4</v>
      </c>
      <c r="L26" s="436">
        <v>-1.8</v>
      </c>
      <c r="M26" s="436">
        <v>-1.8</v>
      </c>
      <c r="N26" s="436">
        <v>-2.8</v>
      </c>
      <c r="O26" s="435">
        <v>-2.7</v>
      </c>
      <c r="P26" s="436">
        <v>0</v>
      </c>
      <c r="Q26" s="436">
        <v>-20</v>
      </c>
      <c r="R26" s="437">
        <v>-8.1</v>
      </c>
      <c r="S26" s="406">
        <v>-3.8</v>
      </c>
      <c r="T26" s="406">
        <v>-20</v>
      </c>
      <c r="U26" s="406">
        <v>-16.8</v>
      </c>
      <c r="V26" s="406">
        <v>-33.299999999999997</v>
      </c>
      <c r="W26" s="405">
        <v>-97.7</v>
      </c>
      <c r="X26" s="406">
        <v>-90.7</v>
      </c>
      <c r="Y26" s="406">
        <v>-91.5</v>
      </c>
      <c r="Z26" s="510">
        <v>-85.4</v>
      </c>
      <c r="AA26" s="406">
        <v>-89.4</v>
      </c>
      <c r="AB26" s="406">
        <v>-92.2</v>
      </c>
      <c r="AC26" s="406">
        <v>-82.2</v>
      </c>
      <c r="AD26" s="510">
        <v>-69.3</v>
      </c>
      <c r="AE26" s="405">
        <v>0</v>
      </c>
      <c r="AF26" s="406">
        <v>0</v>
      </c>
      <c r="AG26" s="406">
        <v>0</v>
      </c>
      <c r="AH26" s="510">
        <v>0</v>
      </c>
      <c r="AI26" s="406">
        <v>0</v>
      </c>
      <c r="AJ26" s="406">
        <v>0</v>
      </c>
      <c r="AK26" s="406">
        <v>0</v>
      </c>
      <c r="AL26" s="510">
        <v>0</v>
      </c>
      <c r="AM26" s="406">
        <v>0</v>
      </c>
      <c r="AN26" s="406">
        <v>0</v>
      </c>
      <c r="AO26" s="406">
        <v>0</v>
      </c>
      <c r="AP26" s="510" t="s">
        <v>332</v>
      </c>
      <c r="AQ26" s="405" t="s">
        <v>332</v>
      </c>
      <c r="AR26" s="406" t="s">
        <v>332</v>
      </c>
      <c r="AS26" s="406" t="s">
        <v>332</v>
      </c>
      <c r="AT26" s="406" t="s">
        <v>332</v>
      </c>
      <c r="AU26" s="405" t="s">
        <v>332</v>
      </c>
      <c r="AV26" s="406" t="s">
        <v>332</v>
      </c>
      <c r="AW26" s="406" t="s">
        <v>332</v>
      </c>
      <c r="AX26" s="406" t="s">
        <v>332</v>
      </c>
      <c r="AY26" s="405" t="s">
        <v>332</v>
      </c>
      <c r="AZ26" s="406" t="s">
        <v>332</v>
      </c>
      <c r="BA26" s="406" t="s">
        <v>332</v>
      </c>
      <c r="BB26" s="406" t="s">
        <v>332</v>
      </c>
      <c r="BC26" s="405" t="s">
        <v>332</v>
      </c>
      <c r="BD26" s="406" t="s">
        <v>332</v>
      </c>
      <c r="BE26" s="406" t="s">
        <v>332</v>
      </c>
      <c r="BF26" s="406" t="s">
        <v>332</v>
      </c>
    </row>
    <row r="27" spans="1:58" s="586" customFormat="1" ht="11.25">
      <c r="A27" s="604" t="s">
        <v>404</v>
      </c>
      <c r="B27" s="604" t="s">
        <v>397</v>
      </c>
      <c r="C27" s="435">
        <v>38.1</v>
      </c>
      <c r="D27" s="436">
        <v>9</v>
      </c>
      <c r="E27" s="436">
        <v>141.19999999999999</v>
      </c>
      <c r="F27" s="437">
        <v>91.8</v>
      </c>
      <c r="G27" s="435">
        <v>30.7</v>
      </c>
      <c r="H27" s="436">
        <v>58.4</v>
      </c>
      <c r="I27" s="436">
        <v>89.9</v>
      </c>
      <c r="J27" s="437">
        <v>79.7</v>
      </c>
      <c r="K27" s="436">
        <v>0</v>
      </c>
      <c r="L27" s="436">
        <v>63.5</v>
      </c>
      <c r="M27" s="436">
        <v>54.8</v>
      </c>
      <c r="N27" s="436">
        <v>65.5</v>
      </c>
      <c r="O27" s="435">
        <v>55.4</v>
      </c>
      <c r="P27" s="436">
        <v>38.9</v>
      </c>
      <c r="Q27" s="436">
        <v>32.200000000000003</v>
      </c>
      <c r="R27" s="437">
        <v>26.5</v>
      </c>
      <c r="S27" s="406">
        <v>62.1</v>
      </c>
      <c r="T27" s="406">
        <v>59.8</v>
      </c>
      <c r="U27" s="406">
        <v>40.4</v>
      </c>
      <c r="V27" s="406">
        <v>32.700000000000003</v>
      </c>
      <c r="W27" s="405">
        <v>41.6</v>
      </c>
      <c r="X27" s="406">
        <v>42.1</v>
      </c>
      <c r="Y27" s="406">
        <v>40.4</v>
      </c>
      <c r="Z27" s="510">
        <v>44.4</v>
      </c>
      <c r="AA27" s="406">
        <v>37.6</v>
      </c>
      <c r="AB27" s="406">
        <v>51.4</v>
      </c>
      <c r="AC27" s="406">
        <v>39.1</v>
      </c>
      <c r="AD27" s="510">
        <v>34.700000000000003</v>
      </c>
      <c r="AE27" s="405" t="s">
        <v>332</v>
      </c>
      <c r="AF27" s="406" t="s">
        <v>332</v>
      </c>
      <c r="AG27" s="406" t="s">
        <v>332</v>
      </c>
      <c r="AH27" s="510" t="s">
        <v>332</v>
      </c>
      <c r="AI27" s="406" t="s">
        <v>332</v>
      </c>
      <c r="AJ27" s="406" t="s">
        <v>332</v>
      </c>
      <c r="AK27" s="406" t="s">
        <v>332</v>
      </c>
      <c r="AL27" s="510" t="s">
        <v>332</v>
      </c>
      <c r="AM27" s="406" t="s">
        <v>332</v>
      </c>
      <c r="AN27" s="406" t="s">
        <v>332</v>
      </c>
      <c r="AO27" s="406" t="s">
        <v>332</v>
      </c>
      <c r="AP27" s="510" t="s">
        <v>332</v>
      </c>
      <c r="AQ27" s="405" t="s">
        <v>332</v>
      </c>
      <c r="AR27" s="406" t="s">
        <v>332</v>
      </c>
      <c r="AS27" s="406" t="s">
        <v>332</v>
      </c>
      <c r="AT27" s="406" t="s">
        <v>332</v>
      </c>
      <c r="AU27" s="405" t="s">
        <v>332</v>
      </c>
      <c r="AV27" s="406" t="s">
        <v>332</v>
      </c>
      <c r="AW27" s="406" t="s">
        <v>332</v>
      </c>
      <c r="AX27" s="406" t="s">
        <v>332</v>
      </c>
      <c r="AY27" s="405" t="s">
        <v>332</v>
      </c>
      <c r="AZ27" s="406" t="s">
        <v>332</v>
      </c>
      <c r="BA27" s="406" t="s">
        <v>332</v>
      </c>
      <c r="BB27" s="406" t="s">
        <v>332</v>
      </c>
      <c r="BC27" s="405" t="s">
        <v>332</v>
      </c>
      <c r="BD27" s="406" t="s">
        <v>332</v>
      </c>
      <c r="BE27" s="406" t="s">
        <v>332</v>
      </c>
      <c r="BF27" s="406" t="s">
        <v>332</v>
      </c>
    </row>
    <row r="28" spans="1:58" s="586" customFormat="1" ht="12" thickBot="1">
      <c r="A28" s="605"/>
      <c r="B28" s="605"/>
      <c r="C28" s="606"/>
      <c r="D28" s="607"/>
      <c r="E28" s="607"/>
      <c r="F28" s="608"/>
      <c r="G28" s="606"/>
      <c r="H28" s="607"/>
      <c r="I28" s="607"/>
      <c r="J28" s="608"/>
      <c r="K28" s="607"/>
      <c r="L28" s="607"/>
      <c r="M28" s="607"/>
      <c r="N28" s="607"/>
      <c r="O28" s="606"/>
      <c r="P28" s="607"/>
      <c r="Q28" s="607"/>
      <c r="R28" s="608"/>
      <c r="S28" s="609"/>
      <c r="T28" s="609"/>
      <c r="U28" s="609"/>
      <c r="V28" s="609"/>
      <c r="W28" s="610"/>
      <c r="X28" s="609"/>
      <c r="Y28" s="609"/>
      <c r="Z28" s="611"/>
      <c r="AA28" s="609"/>
      <c r="AB28" s="609"/>
      <c r="AC28" s="609"/>
      <c r="AD28" s="611"/>
      <c r="AE28" s="610"/>
      <c r="AF28" s="609"/>
      <c r="AG28" s="609"/>
      <c r="AH28" s="611"/>
      <c r="AI28" s="609"/>
      <c r="AJ28" s="609"/>
      <c r="AK28" s="609"/>
      <c r="AL28" s="611"/>
      <c r="AM28" s="609"/>
      <c r="AN28" s="609"/>
      <c r="AO28" s="609"/>
      <c r="AP28" s="611"/>
      <c r="AQ28" s="610"/>
      <c r="AR28" s="609"/>
      <c r="AS28" s="609"/>
      <c r="AT28" s="609"/>
      <c r="AU28" s="610"/>
      <c r="AV28" s="609"/>
      <c r="AW28" s="609"/>
      <c r="AX28" s="609"/>
      <c r="AY28" s="610"/>
      <c r="AZ28" s="609"/>
      <c r="BA28" s="609"/>
      <c r="BB28" s="609"/>
      <c r="BC28" s="610"/>
      <c r="BD28" s="609"/>
      <c r="BE28" s="609"/>
      <c r="BF28" s="609"/>
    </row>
    <row r="29" spans="1:58" s="586" customFormat="1" ht="34.5" thickBot="1">
      <c r="A29" s="612" t="s">
        <v>487</v>
      </c>
      <c r="B29" s="613" t="s">
        <v>477</v>
      </c>
      <c r="C29" s="614" t="s">
        <v>332</v>
      </c>
      <c r="D29" s="615" t="s">
        <v>332</v>
      </c>
      <c r="E29" s="615" t="s">
        <v>332</v>
      </c>
      <c r="F29" s="616" t="s">
        <v>332</v>
      </c>
      <c r="G29" s="614" t="s">
        <v>332</v>
      </c>
      <c r="H29" s="615" t="s">
        <v>332</v>
      </c>
      <c r="I29" s="615" t="s">
        <v>332</v>
      </c>
      <c r="J29" s="616" t="s">
        <v>332</v>
      </c>
      <c r="K29" s="615" t="s">
        <v>332</v>
      </c>
      <c r="L29" s="615" t="s">
        <v>332</v>
      </c>
      <c r="M29" s="615" t="s">
        <v>332</v>
      </c>
      <c r="N29" s="615" t="s">
        <v>332</v>
      </c>
      <c r="O29" s="614" t="s">
        <v>332</v>
      </c>
      <c r="P29" s="615" t="s">
        <v>332</v>
      </c>
      <c r="Q29" s="615" t="s">
        <v>332</v>
      </c>
      <c r="R29" s="616" t="s">
        <v>332</v>
      </c>
      <c r="S29" s="615" t="s">
        <v>332</v>
      </c>
      <c r="T29" s="615" t="s">
        <v>332</v>
      </c>
      <c r="U29" s="615" t="s">
        <v>332</v>
      </c>
      <c r="V29" s="615">
        <f t="shared" ref="V29:AO29" si="22">SUM(V15,V18,V26,V27)</f>
        <v>5326.5</v>
      </c>
      <c r="W29" s="614">
        <f t="shared" si="22"/>
        <v>5845.7000000000007</v>
      </c>
      <c r="X29" s="615">
        <f t="shared" si="22"/>
        <v>6157.5000000000009</v>
      </c>
      <c r="Y29" s="615">
        <f t="shared" si="22"/>
        <v>6485.5999999999985</v>
      </c>
      <c r="Z29" s="616">
        <f t="shared" si="22"/>
        <v>6797.2</v>
      </c>
      <c r="AA29" s="615">
        <f t="shared" si="22"/>
        <v>7016.9000000000005</v>
      </c>
      <c r="AB29" s="615">
        <f t="shared" si="22"/>
        <v>6853.1999999999989</v>
      </c>
      <c r="AC29" s="615">
        <f t="shared" si="22"/>
        <v>7279.1</v>
      </c>
      <c r="AD29" s="616">
        <f t="shared" si="22"/>
        <v>7285.9999999999991</v>
      </c>
      <c r="AE29" s="614">
        <f t="shared" si="22"/>
        <v>6565.6999999999989</v>
      </c>
      <c r="AF29" s="615">
        <f t="shared" si="22"/>
        <v>6965.3</v>
      </c>
      <c r="AG29" s="615">
        <f t="shared" si="22"/>
        <v>6978.2999999999993</v>
      </c>
      <c r="AH29" s="616">
        <f t="shared" si="22"/>
        <v>6983.4</v>
      </c>
      <c r="AI29" s="615">
        <f t="shared" si="22"/>
        <v>7647.2000000000007</v>
      </c>
      <c r="AJ29" s="615">
        <f t="shared" si="22"/>
        <v>7641.3999999999987</v>
      </c>
      <c r="AK29" s="615">
        <f t="shared" si="22"/>
        <v>7842.199999999998</v>
      </c>
      <c r="AL29" s="616">
        <f t="shared" si="22"/>
        <v>7920.0999999999985</v>
      </c>
      <c r="AM29" s="615">
        <f t="shared" si="22"/>
        <v>8346.4000000000015</v>
      </c>
      <c r="AN29" s="615">
        <f t="shared" si="22"/>
        <v>8952.6</v>
      </c>
      <c r="AO29" s="615">
        <f t="shared" si="22"/>
        <v>9232.3000000000011</v>
      </c>
      <c r="AP29" s="616">
        <f>SUM(AP30:AP32)</f>
        <v>9193.6000000000022</v>
      </c>
      <c r="AQ29" s="614">
        <f t="shared" ref="AQ29:AY29" si="23">SUM(AQ30:AQ32)</f>
        <v>9227.4</v>
      </c>
      <c r="AR29" s="615">
        <f t="shared" si="23"/>
        <v>10184.4</v>
      </c>
      <c r="AS29" s="615">
        <f t="shared" si="23"/>
        <v>10217.6</v>
      </c>
      <c r="AT29" s="615">
        <f t="shared" si="23"/>
        <v>10911.199999999999</v>
      </c>
      <c r="AU29" s="614">
        <f t="shared" si="23"/>
        <v>10982.8</v>
      </c>
      <c r="AV29" s="615">
        <f t="shared" si="23"/>
        <v>11215.3</v>
      </c>
      <c r="AW29" s="615">
        <f t="shared" si="23"/>
        <v>11741.7</v>
      </c>
      <c r="AX29" s="615">
        <f t="shared" si="23"/>
        <v>11933.800000000003</v>
      </c>
      <c r="AY29" s="614">
        <f t="shared" si="23"/>
        <v>12732</v>
      </c>
      <c r="AZ29" s="615">
        <f t="shared" ref="AZ29:BA29" si="24">SUM(AZ30:AZ32)</f>
        <v>12811.199999999999</v>
      </c>
      <c r="BA29" s="615">
        <f t="shared" si="24"/>
        <v>13316.2</v>
      </c>
      <c r="BB29" s="615">
        <f t="shared" ref="BB29:BC29" si="25">SUM(BB30:BB32)</f>
        <v>14591.699999999997</v>
      </c>
      <c r="BC29" s="614">
        <f t="shared" si="25"/>
        <v>14328.5</v>
      </c>
      <c r="BD29" s="615">
        <f t="shared" ref="BD29:BF29" si="26">SUM(BD30:BD32)</f>
        <v>16136.856604525643</v>
      </c>
      <c r="BE29" s="615">
        <f t="shared" si="26"/>
        <v>16216.395588469195</v>
      </c>
      <c r="BF29" s="615">
        <f t="shared" si="26"/>
        <v>16393.900000000001</v>
      </c>
    </row>
    <row r="30" spans="1:58" s="586" customFormat="1" ht="11.25">
      <c r="A30" s="617" t="s">
        <v>491</v>
      </c>
      <c r="B30" s="618" t="s">
        <v>478</v>
      </c>
      <c r="C30" s="619" t="s">
        <v>332</v>
      </c>
      <c r="D30" s="620" t="s">
        <v>332</v>
      </c>
      <c r="E30" s="620" t="s">
        <v>332</v>
      </c>
      <c r="F30" s="621" t="s">
        <v>332</v>
      </c>
      <c r="G30" s="619" t="s">
        <v>332</v>
      </c>
      <c r="H30" s="620" t="s">
        <v>332</v>
      </c>
      <c r="I30" s="620" t="s">
        <v>332</v>
      </c>
      <c r="J30" s="621" t="s">
        <v>332</v>
      </c>
      <c r="K30" s="620" t="s">
        <v>332</v>
      </c>
      <c r="L30" s="620" t="s">
        <v>332</v>
      </c>
      <c r="M30" s="620" t="s">
        <v>332</v>
      </c>
      <c r="N30" s="620" t="s">
        <v>332</v>
      </c>
      <c r="O30" s="619" t="s">
        <v>332</v>
      </c>
      <c r="P30" s="620" t="s">
        <v>332</v>
      </c>
      <c r="Q30" s="620" t="s">
        <v>332</v>
      </c>
      <c r="R30" s="621" t="s">
        <v>332</v>
      </c>
      <c r="S30" s="620" t="s">
        <v>332</v>
      </c>
      <c r="T30" s="620" t="s">
        <v>332</v>
      </c>
      <c r="U30" s="620" t="s">
        <v>332</v>
      </c>
      <c r="V30" s="620">
        <v>5293.8</v>
      </c>
      <c r="W30" s="619">
        <v>5801.8</v>
      </c>
      <c r="X30" s="620">
        <v>6078.8</v>
      </c>
      <c r="Y30" s="620">
        <v>6247.6999999999989</v>
      </c>
      <c r="Z30" s="621">
        <v>6252.8</v>
      </c>
      <c r="AA30" s="620">
        <v>6649.9</v>
      </c>
      <c r="AB30" s="620">
        <v>6598.7999999999993</v>
      </c>
      <c r="AC30" s="620">
        <v>7110.2</v>
      </c>
      <c r="AD30" s="621">
        <v>7025.2999999999993</v>
      </c>
      <c r="AE30" s="619">
        <v>6565.6999999999989</v>
      </c>
      <c r="AF30" s="620">
        <v>6965.3</v>
      </c>
      <c r="AG30" s="620">
        <v>6978.2999999999993</v>
      </c>
      <c r="AH30" s="621">
        <v>6983.4</v>
      </c>
      <c r="AI30" s="620">
        <v>7647.2000000000007</v>
      </c>
      <c r="AJ30" s="620">
        <v>7641.3999999999987</v>
      </c>
      <c r="AK30" s="620">
        <v>7842.199999999998</v>
      </c>
      <c r="AL30" s="621">
        <v>7920.0999999999985</v>
      </c>
      <c r="AM30" s="620">
        <v>8346.4000000000015</v>
      </c>
      <c r="AN30" s="620">
        <v>8314.9</v>
      </c>
      <c r="AO30" s="620">
        <v>8612.4</v>
      </c>
      <c r="AP30" s="621">
        <v>8553.1000000000022</v>
      </c>
      <c r="AQ30" s="619">
        <v>8606.5</v>
      </c>
      <c r="AR30" s="620">
        <v>9565.1999999999989</v>
      </c>
      <c r="AS30" s="620">
        <v>9587.1</v>
      </c>
      <c r="AT30" s="620">
        <v>10299.099999999999</v>
      </c>
      <c r="AU30" s="619">
        <v>10351.5</v>
      </c>
      <c r="AV30" s="620">
        <v>10561.099999999999</v>
      </c>
      <c r="AW30" s="620">
        <v>11101</v>
      </c>
      <c r="AX30" s="620">
        <v>11288.800000000003</v>
      </c>
      <c r="AY30" s="619">
        <v>11657</v>
      </c>
      <c r="AZ30" s="620">
        <v>11748.199999999999</v>
      </c>
      <c r="BA30" s="620">
        <v>12222.800000000001</v>
      </c>
      <c r="BB30" s="620">
        <v>12462.399999999998</v>
      </c>
      <c r="BC30" s="619">
        <v>12052.3</v>
      </c>
      <c r="BD30" s="620">
        <v>13903.856604525643</v>
      </c>
      <c r="BE30" s="620">
        <v>13952.995588469195</v>
      </c>
      <c r="BF30" s="620">
        <v>14086.500000000002</v>
      </c>
    </row>
    <row r="31" spans="1:58" s="586" customFormat="1" ht="11.25">
      <c r="A31" s="532" t="s">
        <v>490</v>
      </c>
      <c r="B31" s="618" t="s">
        <v>479</v>
      </c>
      <c r="C31" s="407" t="s">
        <v>332</v>
      </c>
      <c r="D31" s="408" t="s">
        <v>332</v>
      </c>
      <c r="E31" s="408" t="s">
        <v>332</v>
      </c>
      <c r="F31" s="504" t="s">
        <v>332</v>
      </c>
      <c r="G31" s="407" t="s">
        <v>332</v>
      </c>
      <c r="H31" s="408" t="s">
        <v>332</v>
      </c>
      <c r="I31" s="408" t="s">
        <v>332</v>
      </c>
      <c r="J31" s="504" t="s">
        <v>332</v>
      </c>
      <c r="K31" s="408" t="s">
        <v>332</v>
      </c>
      <c r="L31" s="408" t="s">
        <v>332</v>
      </c>
      <c r="M31" s="408" t="s">
        <v>332</v>
      </c>
      <c r="N31" s="408" t="s">
        <v>332</v>
      </c>
      <c r="O31" s="407" t="s">
        <v>332</v>
      </c>
      <c r="P31" s="408" t="s">
        <v>332</v>
      </c>
      <c r="Q31" s="408" t="s">
        <v>332</v>
      </c>
      <c r="R31" s="504" t="s">
        <v>332</v>
      </c>
      <c r="S31" s="408" t="s">
        <v>332</v>
      </c>
      <c r="T31" s="408" t="s">
        <v>332</v>
      </c>
      <c r="U31" s="408" t="s">
        <v>332</v>
      </c>
      <c r="V31" s="408">
        <v>0</v>
      </c>
      <c r="W31" s="407">
        <v>2.2999999999999972</v>
      </c>
      <c r="X31" s="408">
        <v>36.599999999999994</v>
      </c>
      <c r="Y31" s="408">
        <v>197.5</v>
      </c>
      <c r="Z31" s="504">
        <v>500</v>
      </c>
      <c r="AA31" s="408">
        <v>329.4</v>
      </c>
      <c r="AB31" s="408">
        <v>203</v>
      </c>
      <c r="AC31" s="408">
        <v>129.80000000000001</v>
      </c>
      <c r="AD31" s="504">
        <v>226</v>
      </c>
      <c r="AE31" s="407">
        <v>0</v>
      </c>
      <c r="AF31" s="408">
        <v>0</v>
      </c>
      <c r="AG31" s="408">
        <v>0</v>
      </c>
      <c r="AH31" s="504">
        <v>0</v>
      </c>
      <c r="AI31" s="408">
        <v>0</v>
      </c>
      <c r="AJ31" s="408">
        <v>0</v>
      </c>
      <c r="AK31" s="408">
        <v>0</v>
      </c>
      <c r="AL31" s="504">
        <v>0</v>
      </c>
      <c r="AM31" s="408">
        <v>0</v>
      </c>
      <c r="AN31" s="408">
        <v>637.70000000000005</v>
      </c>
      <c r="AO31" s="408">
        <v>619.9</v>
      </c>
      <c r="AP31" s="621">
        <v>640.5</v>
      </c>
      <c r="AQ31" s="407">
        <v>620.9</v>
      </c>
      <c r="AR31" s="408">
        <v>619.20000000000005</v>
      </c>
      <c r="AS31" s="408">
        <v>630.5</v>
      </c>
      <c r="AT31" s="408">
        <v>612.1</v>
      </c>
      <c r="AU31" s="407">
        <v>631.29999999999995</v>
      </c>
      <c r="AV31" s="408">
        <v>654.20000000000005</v>
      </c>
      <c r="AW31" s="408">
        <v>640.70000000000005</v>
      </c>
      <c r="AX31" s="408">
        <v>645</v>
      </c>
      <c r="AY31" s="407">
        <v>1075</v>
      </c>
      <c r="AZ31" s="408">
        <v>1063</v>
      </c>
      <c r="BA31" s="408">
        <v>1093.4000000000001</v>
      </c>
      <c r="BB31" s="408">
        <v>2129.3000000000002</v>
      </c>
      <c r="BC31" s="407">
        <v>2276.1999999999998</v>
      </c>
      <c r="BD31" s="408">
        <v>2233</v>
      </c>
      <c r="BE31" s="408">
        <v>2263.4</v>
      </c>
      <c r="BF31" s="408">
        <v>2307.4</v>
      </c>
    </row>
    <row r="32" spans="1:58" s="586" customFormat="1" ht="11.25">
      <c r="A32" s="532" t="s">
        <v>489</v>
      </c>
      <c r="B32" s="618" t="s">
        <v>480</v>
      </c>
      <c r="C32" s="407" t="s">
        <v>332</v>
      </c>
      <c r="D32" s="408" t="s">
        <v>332</v>
      </c>
      <c r="E32" s="408" t="s">
        <v>332</v>
      </c>
      <c r="F32" s="504" t="s">
        <v>332</v>
      </c>
      <c r="G32" s="407" t="s">
        <v>332</v>
      </c>
      <c r="H32" s="408" t="s">
        <v>332</v>
      </c>
      <c r="I32" s="408" t="s">
        <v>332</v>
      </c>
      <c r="J32" s="504" t="s">
        <v>332</v>
      </c>
      <c r="K32" s="408" t="s">
        <v>332</v>
      </c>
      <c r="L32" s="408" t="s">
        <v>332</v>
      </c>
      <c r="M32" s="408" t="s">
        <v>332</v>
      </c>
      <c r="N32" s="408" t="s">
        <v>332</v>
      </c>
      <c r="O32" s="407" t="s">
        <v>332</v>
      </c>
      <c r="P32" s="408" t="s">
        <v>332</v>
      </c>
      <c r="Q32" s="408" t="s">
        <v>332</v>
      </c>
      <c r="R32" s="504" t="s">
        <v>332</v>
      </c>
      <c r="S32" s="408" t="s">
        <v>332</v>
      </c>
      <c r="T32" s="408" t="s">
        <v>332</v>
      </c>
      <c r="U32" s="408" t="s">
        <v>332</v>
      </c>
      <c r="V32" s="408">
        <v>32.700000000000003</v>
      </c>
      <c r="W32" s="407">
        <v>41.6</v>
      </c>
      <c r="X32" s="408">
        <v>42.1</v>
      </c>
      <c r="Y32" s="408">
        <v>40.4</v>
      </c>
      <c r="Z32" s="504">
        <v>44.4</v>
      </c>
      <c r="AA32" s="408">
        <v>37.6</v>
      </c>
      <c r="AB32" s="408">
        <v>51.4</v>
      </c>
      <c r="AC32" s="408">
        <v>39.1</v>
      </c>
      <c r="AD32" s="504">
        <v>34.700000000000003</v>
      </c>
      <c r="AE32" s="407">
        <v>0</v>
      </c>
      <c r="AF32" s="408">
        <v>0</v>
      </c>
      <c r="AG32" s="408">
        <v>0</v>
      </c>
      <c r="AH32" s="504">
        <v>0</v>
      </c>
      <c r="AI32" s="408">
        <v>0</v>
      </c>
      <c r="AJ32" s="408">
        <v>0</v>
      </c>
      <c r="AK32" s="408">
        <v>0</v>
      </c>
      <c r="AL32" s="504">
        <v>0</v>
      </c>
      <c r="AM32" s="408">
        <v>0</v>
      </c>
      <c r="AN32" s="408">
        <v>0</v>
      </c>
      <c r="AO32" s="408">
        <v>0</v>
      </c>
      <c r="AP32" s="621">
        <v>0</v>
      </c>
      <c r="AQ32" s="407">
        <v>0</v>
      </c>
      <c r="AR32" s="408">
        <v>0</v>
      </c>
      <c r="AS32" s="408">
        <v>0</v>
      </c>
      <c r="AT32" s="408">
        <v>0</v>
      </c>
      <c r="AU32" s="407">
        <v>0</v>
      </c>
      <c r="AV32" s="408">
        <v>0</v>
      </c>
      <c r="AW32" s="408">
        <v>0</v>
      </c>
      <c r="AX32" s="408">
        <v>0</v>
      </c>
      <c r="AY32" s="407">
        <v>0</v>
      </c>
      <c r="AZ32" s="408">
        <v>0</v>
      </c>
      <c r="BA32" s="408">
        <v>0</v>
      </c>
      <c r="BB32" s="408">
        <v>0</v>
      </c>
      <c r="BC32" s="407">
        <v>0</v>
      </c>
      <c r="BD32" s="408">
        <v>0</v>
      </c>
      <c r="BE32" s="408">
        <v>0</v>
      </c>
      <c r="BF32" s="408">
        <v>0</v>
      </c>
    </row>
    <row r="33" spans="1:58" s="586" customFormat="1" ht="12" thickBot="1">
      <c r="A33" s="532"/>
      <c r="B33" s="532"/>
      <c r="C33" s="407"/>
      <c r="D33" s="408"/>
      <c r="E33" s="408"/>
      <c r="F33" s="504"/>
      <c r="G33" s="407"/>
      <c r="H33" s="408"/>
      <c r="I33" s="408"/>
      <c r="J33" s="504"/>
      <c r="K33" s="408"/>
      <c r="L33" s="408"/>
      <c r="M33" s="408"/>
      <c r="N33" s="408"/>
      <c r="O33" s="407"/>
      <c r="P33" s="408"/>
      <c r="Q33" s="408"/>
      <c r="R33" s="504"/>
      <c r="S33" s="408"/>
      <c r="T33" s="408"/>
      <c r="U33" s="408"/>
      <c r="V33" s="408"/>
      <c r="W33" s="407"/>
      <c r="X33" s="408"/>
      <c r="Y33" s="408"/>
      <c r="Z33" s="504"/>
      <c r="AA33" s="408"/>
      <c r="AB33" s="408"/>
      <c r="AC33" s="408"/>
      <c r="AD33" s="504"/>
      <c r="AE33" s="407"/>
      <c r="AF33" s="408"/>
      <c r="AG33" s="408"/>
      <c r="AH33" s="504"/>
      <c r="AI33" s="408"/>
      <c r="AJ33" s="408"/>
      <c r="AK33" s="408"/>
      <c r="AL33" s="504"/>
      <c r="AM33" s="408"/>
      <c r="AN33" s="408"/>
      <c r="AO33" s="408"/>
      <c r="AP33" s="504"/>
      <c r="AQ33" s="407"/>
      <c r="AR33" s="408"/>
      <c r="AS33" s="408"/>
      <c r="AT33" s="408"/>
      <c r="AU33" s="407"/>
      <c r="AV33" s="408"/>
      <c r="AW33" s="408"/>
      <c r="AX33" s="408"/>
      <c r="AY33" s="407"/>
      <c r="AZ33" s="408"/>
      <c r="BA33" s="408"/>
      <c r="BB33" s="408"/>
      <c r="BC33" s="407"/>
      <c r="BD33" s="408"/>
      <c r="BE33" s="408"/>
      <c r="BF33" s="408"/>
    </row>
    <row r="34" spans="1:58" s="586" customFormat="1" ht="34.5" thickBot="1">
      <c r="A34" s="612" t="s">
        <v>488</v>
      </c>
      <c r="B34" s="613" t="s">
        <v>481</v>
      </c>
      <c r="C34" s="614">
        <v>2883.8</v>
      </c>
      <c r="D34" s="615">
        <v>3005.3999999999996</v>
      </c>
      <c r="E34" s="615">
        <v>3111.0999999999995</v>
      </c>
      <c r="F34" s="616">
        <v>2982.7999999999997</v>
      </c>
      <c r="G34" s="614">
        <v>3255.2999999999988</v>
      </c>
      <c r="H34" s="615">
        <v>3248.0999999999995</v>
      </c>
      <c r="I34" s="615">
        <v>3798.4</v>
      </c>
      <c r="J34" s="616">
        <v>3811.5999999999995</v>
      </c>
      <c r="K34" s="615">
        <v>3752.0999999999995</v>
      </c>
      <c r="L34" s="615">
        <v>3885.3999999999996</v>
      </c>
      <c r="M34" s="615">
        <v>4166.1000000000013</v>
      </c>
      <c r="N34" s="615">
        <v>4186.4000000000005</v>
      </c>
      <c r="O34" s="614">
        <v>4517.6000000000004</v>
      </c>
      <c r="P34" s="615">
        <v>4491.5000000000009</v>
      </c>
      <c r="Q34" s="615">
        <v>4889.6999999999989</v>
      </c>
      <c r="R34" s="616">
        <v>4843.8999999999996</v>
      </c>
      <c r="S34" s="615">
        <v>5016.3999999999996</v>
      </c>
      <c r="T34" s="615">
        <v>5089.9000000000005</v>
      </c>
      <c r="U34" s="615">
        <v>5481.0999999999985</v>
      </c>
      <c r="V34" s="615">
        <v>5481.2</v>
      </c>
      <c r="W34" s="614">
        <v>6001.1000000000013</v>
      </c>
      <c r="X34" s="615">
        <v>6298.9000000000005</v>
      </c>
      <c r="Y34" s="615">
        <v>6628.5999999999985</v>
      </c>
      <c r="Z34" s="616">
        <v>6928.0999999999995</v>
      </c>
      <c r="AA34" s="615">
        <v>7155.8</v>
      </c>
      <c r="AB34" s="615" t="s">
        <v>332</v>
      </c>
      <c r="AC34" s="615" t="s">
        <v>332</v>
      </c>
      <c r="AD34" s="616" t="s">
        <v>332</v>
      </c>
      <c r="AE34" s="614" t="s">
        <v>332</v>
      </c>
      <c r="AF34" s="615" t="s">
        <v>332</v>
      </c>
      <c r="AG34" s="615" t="s">
        <v>332</v>
      </c>
      <c r="AH34" s="616" t="s">
        <v>332</v>
      </c>
      <c r="AI34" s="615" t="s">
        <v>332</v>
      </c>
      <c r="AJ34" s="615" t="s">
        <v>332</v>
      </c>
      <c r="AK34" s="615" t="s">
        <v>332</v>
      </c>
      <c r="AL34" s="616" t="s">
        <v>332</v>
      </c>
      <c r="AM34" s="615" t="s">
        <v>332</v>
      </c>
      <c r="AN34" s="615" t="s">
        <v>332</v>
      </c>
      <c r="AO34" s="615" t="s">
        <v>332</v>
      </c>
      <c r="AP34" s="616" t="s">
        <v>332</v>
      </c>
      <c r="AQ34" s="614" t="s">
        <v>332</v>
      </c>
      <c r="AR34" s="615" t="s">
        <v>332</v>
      </c>
      <c r="AS34" s="615" t="s">
        <v>332</v>
      </c>
      <c r="AT34" s="615" t="s">
        <v>332</v>
      </c>
      <c r="AU34" s="614" t="s">
        <v>332</v>
      </c>
      <c r="AV34" s="615" t="s">
        <v>332</v>
      </c>
      <c r="AW34" s="615" t="s">
        <v>332</v>
      </c>
      <c r="AX34" s="615" t="s">
        <v>332</v>
      </c>
      <c r="AY34" s="614" t="s">
        <v>332</v>
      </c>
      <c r="AZ34" s="615" t="s">
        <v>332</v>
      </c>
      <c r="BA34" s="615" t="s">
        <v>332</v>
      </c>
      <c r="BB34" s="615" t="s">
        <v>332</v>
      </c>
      <c r="BC34" s="614" t="s">
        <v>332</v>
      </c>
      <c r="BD34" s="615" t="s">
        <v>332</v>
      </c>
      <c r="BE34" s="615" t="s">
        <v>332</v>
      </c>
      <c r="BF34" s="622" t="s">
        <v>332</v>
      </c>
    </row>
    <row r="35" spans="1:58" s="586" customFormat="1" ht="11.25">
      <c r="A35" s="617" t="s">
        <v>491</v>
      </c>
      <c r="B35" s="618" t="s">
        <v>478</v>
      </c>
      <c r="C35" s="425">
        <v>2821.6000000000004</v>
      </c>
      <c r="D35" s="337">
        <v>2996.3999999999996</v>
      </c>
      <c r="E35" s="337">
        <v>2969.8999999999996</v>
      </c>
      <c r="F35" s="338">
        <v>2890.9999999999995</v>
      </c>
      <c r="G35" s="425">
        <v>3224.599999999999</v>
      </c>
      <c r="H35" s="337">
        <v>3189.6999999999994</v>
      </c>
      <c r="I35" s="337">
        <v>3708.5</v>
      </c>
      <c r="J35" s="338">
        <v>3731.8999999999996</v>
      </c>
      <c r="K35" s="337">
        <v>3752.1</v>
      </c>
      <c r="L35" s="337">
        <v>3821.8999999999996</v>
      </c>
      <c r="M35" s="337">
        <v>4111.3000000000011</v>
      </c>
      <c r="N35" s="337">
        <v>4120.9000000000005</v>
      </c>
      <c r="O35" s="425">
        <v>4462.2000000000007</v>
      </c>
      <c r="P35" s="337">
        <v>4452.6000000000013</v>
      </c>
      <c r="Q35" s="337">
        <v>4845.7999999999993</v>
      </c>
      <c r="R35" s="338">
        <v>4817.3999999999996</v>
      </c>
      <c r="S35" s="408">
        <v>4954.2999999999993</v>
      </c>
      <c r="T35" s="408">
        <v>5005.5</v>
      </c>
      <c r="U35" s="408">
        <v>5440.6999999999989</v>
      </c>
      <c r="V35" s="408">
        <v>5435.2</v>
      </c>
      <c r="W35" s="407">
        <v>5879.5000000000009</v>
      </c>
      <c r="X35" s="408">
        <v>6149.5</v>
      </c>
      <c r="Y35" s="408">
        <v>6319.1999999999989</v>
      </c>
      <c r="Z35" s="504">
        <v>6318.3</v>
      </c>
      <c r="AA35" s="408">
        <v>6719.4</v>
      </c>
      <c r="AB35" s="408" t="s">
        <v>332</v>
      </c>
      <c r="AC35" s="408" t="s">
        <v>332</v>
      </c>
      <c r="AD35" s="504" t="s">
        <v>332</v>
      </c>
      <c r="AE35" s="407" t="s">
        <v>332</v>
      </c>
      <c r="AF35" s="408" t="s">
        <v>332</v>
      </c>
      <c r="AG35" s="408" t="s">
        <v>332</v>
      </c>
      <c r="AH35" s="504" t="s">
        <v>332</v>
      </c>
      <c r="AI35" s="408" t="s">
        <v>332</v>
      </c>
      <c r="AJ35" s="408" t="s">
        <v>332</v>
      </c>
      <c r="AK35" s="408" t="s">
        <v>332</v>
      </c>
      <c r="AL35" s="504" t="s">
        <v>332</v>
      </c>
      <c r="AM35" s="408" t="s">
        <v>332</v>
      </c>
      <c r="AN35" s="408" t="s">
        <v>332</v>
      </c>
      <c r="AO35" s="408" t="s">
        <v>332</v>
      </c>
      <c r="AP35" s="504" t="s">
        <v>332</v>
      </c>
      <c r="AQ35" s="407" t="s">
        <v>332</v>
      </c>
      <c r="AR35" s="408" t="s">
        <v>332</v>
      </c>
      <c r="AS35" s="408" t="s">
        <v>332</v>
      </c>
      <c r="AT35" s="408" t="s">
        <v>332</v>
      </c>
      <c r="AU35" s="407" t="s">
        <v>332</v>
      </c>
      <c r="AV35" s="408" t="s">
        <v>332</v>
      </c>
      <c r="AW35" s="408" t="s">
        <v>332</v>
      </c>
      <c r="AX35" s="408" t="s">
        <v>332</v>
      </c>
      <c r="AY35" s="407" t="s">
        <v>332</v>
      </c>
      <c r="AZ35" s="408" t="s">
        <v>332</v>
      </c>
      <c r="BA35" s="408" t="s">
        <v>332</v>
      </c>
      <c r="BB35" s="408" t="s">
        <v>332</v>
      </c>
      <c r="BC35" s="407" t="s">
        <v>332</v>
      </c>
      <c r="BD35" s="408" t="s">
        <v>332</v>
      </c>
      <c r="BE35" s="408" t="s">
        <v>332</v>
      </c>
      <c r="BF35" s="515" t="s">
        <v>332</v>
      </c>
    </row>
    <row r="36" spans="1:58" s="586" customFormat="1" ht="11.25">
      <c r="A36" s="532" t="s">
        <v>490</v>
      </c>
      <c r="B36" s="618" t="s">
        <v>479</v>
      </c>
      <c r="C36" s="425">
        <v>24.1</v>
      </c>
      <c r="D36" s="337">
        <v>0</v>
      </c>
      <c r="E36" s="337">
        <v>0</v>
      </c>
      <c r="F36" s="338">
        <v>0</v>
      </c>
      <c r="G36" s="425">
        <v>0</v>
      </c>
      <c r="H36" s="337">
        <v>0</v>
      </c>
      <c r="I36" s="337">
        <v>0</v>
      </c>
      <c r="J36" s="338">
        <v>0</v>
      </c>
      <c r="K36" s="337">
        <v>0</v>
      </c>
      <c r="L36" s="337">
        <v>0</v>
      </c>
      <c r="M36" s="337">
        <v>0</v>
      </c>
      <c r="N36" s="337">
        <v>0</v>
      </c>
      <c r="O36" s="425">
        <v>0</v>
      </c>
      <c r="P36" s="337">
        <v>0</v>
      </c>
      <c r="Q36" s="337">
        <v>11.7</v>
      </c>
      <c r="R36" s="338">
        <v>0</v>
      </c>
      <c r="S36" s="408">
        <v>0</v>
      </c>
      <c r="T36" s="408">
        <v>24.6</v>
      </c>
      <c r="U36" s="408">
        <v>0</v>
      </c>
      <c r="V36" s="408">
        <v>13.299999999999997</v>
      </c>
      <c r="W36" s="407">
        <v>80</v>
      </c>
      <c r="X36" s="408">
        <v>107.3</v>
      </c>
      <c r="Y36" s="408">
        <v>269</v>
      </c>
      <c r="Z36" s="504">
        <v>565.4</v>
      </c>
      <c r="AA36" s="408">
        <v>398.8</v>
      </c>
      <c r="AB36" s="408" t="s">
        <v>332</v>
      </c>
      <c r="AC36" s="408" t="s">
        <v>332</v>
      </c>
      <c r="AD36" s="504" t="s">
        <v>332</v>
      </c>
      <c r="AE36" s="407" t="s">
        <v>332</v>
      </c>
      <c r="AF36" s="408" t="s">
        <v>332</v>
      </c>
      <c r="AG36" s="408" t="s">
        <v>332</v>
      </c>
      <c r="AH36" s="504" t="s">
        <v>332</v>
      </c>
      <c r="AI36" s="408" t="s">
        <v>332</v>
      </c>
      <c r="AJ36" s="408" t="s">
        <v>332</v>
      </c>
      <c r="AK36" s="408" t="s">
        <v>332</v>
      </c>
      <c r="AL36" s="504" t="s">
        <v>332</v>
      </c>
      <c r="AM36" s="408" t="s">
        <v>332</v>
      </c>
      <c r="AN36" s="408" t="s">
        <v>332</v>
      </c>
      <c r="AO36" s="408" t="s">
        <v>332</v>
      </c>
      <c r="AP36" s="504" t="s">
        <v>332</v>
      </c>
      <c r="AQ36" s="407" t="s">
        <v>332</v>
      </c>
      <c r="AR36" s="408" t="s">
        <v>332</v>
      </c>
      <c r="AS36" s="408" t="s">
        <v>332</v>
      </c>
      <c r="AT36" s="408" t="s">
        <v>332</v>
      </c>
      <c r="AU36" s="407" t="s">
        <v>332</v>
      </c>
      <c r="AV36" s="408" t="s">
        <v>332</v>
      </c>
      <c r="AW36" s="408" t="s">
        <v>332</v>
      </c>
      <c r="AX36" s="408" t="s">
        <v>332</v>
      </c>
      <c r="AY36" s="407" t="s">
        <v>332</v>
      </c>
      <c r="AZ36" s="408" t="s">
        <v>332</v>
      </c>
      <c r="BA36" s="408" t="s">
        <v>332</v>
      </c>
      <c r="BB36" s="408" t="s">
        <v>332</v>
      </c>
      <c r="BC36" s="407" t="s">
        <v>332</v>
      </c>
      <c r="BD36" s="408" t="s">
        <v>332</v>
      </c>
      <c r="BE36" s="408" t="s">
        <v>332</v>
      </c>
      <c r="BF36" s="515" t="s">
        <v>332</v>
      </c>
    </row>
    <row r="37" spans="1:58" s="586" customFormat="1" ht="11.25">
      <c r="A37" s="532" t="s">
        <v>489</v>
      </c>
      <c r="B37" s="618" t="s">
        <v>480</v>
      </c>
      <c r="C37" s="425">
        <v>38.1</v>
      </c>
      <c r="D37" s="337">
        <v>9</v>
      </c>
      <c r="E37" s="337">
        <v>141.19999999999999</v>
      </c>
      <c r="F37" s="338">
        <v>91.8</v>
      </c>
      <c r="G37" s="425">
        <v>30.7</v>
      </c>
      <c r="H37" s="337">
        <v>58.4</v>
      </c>
      <c r="I37" s="337">
        <v>89.9</v>
      </c>
      <c r="J37" s="338">
        <v>79.7</v>
      </c>
      <c r="K37" s="337">
        <v>0</v>
      </c>
      <c r="L37" s="337">
        <v>63.5</v>
      </c>
      <c r="M37" s="337">
        <v>54.8</v>
      </c>
      <c r="N37" s="337">
        <v>65.5</v>
      </c>
      <c r="O37" s="425">
        <v>55.4</v>
      </c>
      <c r="P37" s="337">
        <v>38.9</v>
      </c>
      <c r="Q37" s="337">
        <v>32.200000000000003</v>
      </c>
      <c r="R37" s="338">
        <v>26.5</v>
      </c>
      <c r="S37" s="408">
        <v>62.1</v>
      </c>
      <c r="T37" s="408">
        <v>59.8</v>
      </c>
      <c r="U37" s="408">
        <v>40.4</v>
      </c>
      <c r="V37" s="408">
        <v>32.700000000000003</v>
      </c>
      <c r="W37" s="407">
        <v>41.6</v>
      </c>
      <c r="X37" s="408">
        <v>42.1</v>
      </c>
      <c r="Y37" s="408">
        <v>40.4</v>
      </c>
      <c r="Z37" s="504">
        <v>44.4</v>
      </c>
      <c r="AA37" s="408">
        <v>37.6</v>
      </c>
      <c r="AB37" s="408" t="s">
        <v>332</v>
      </c>
      <c r="AC37" s="408" t="s">
        <v>332</v>
      </c>
      <c r="AD37" s="504" t="s">
        <v>332</v>
      </c>
      <c r="AE37" s="407" t="s">
        <v>332</v>
      </c>
      <c r="AF37" s="408" t="s">
        <v>332</v>
      </c>
      <c r="AG37" s="408" t="s">
        <v>332</v>
      </c>
      <c r="AH37" s="504" t="s">
        <v>332</v>
      </c>
      <c r="AI37" s="408" t="s">
        <v>332</v>
      </c>
      <c r="AJ37" s="408" t="s">
        <v>332</v>
      </c>
      <c r="AK37" s="408" t="s">
        <v>332</v>
      </c>
      <c r="AL37" s="504" t="s">
        <v>332</v>
      </c>
      <c r="AM37" s="408" t="s">
        <v>332</v>
      </c>
      <c r="AN37" s="408" t="s">
        <v>332</v>
      </c>
      <c r="AO37" s="408" t="s">
        <v>332</v>
      </c>
      <c r="AP37" s="504" t="s">
        <v>332</v>
      </c>
      <c r="AQ37" s="407" t="s">
        <v>332</v>
      </c>
      <c r="AR37" s="408" t="s">
        <v>332</v>
      </c>
      <c r="AS37" s="408" t="s">
        <v>332</v>
      </c>
      <c r="AT37" s="408" t="s">
        <v>332</v>
      </c>
      <c r="AU37" s="407" t="s">
        <v>332</v>
      </c>
      <c r="AV37" s="408" t="s">
        <v>332</v>
      </c>
      <c r="AW37" s="408" t="s">
        <v>332</v>
      </c>
      <c r="AX37" s="408" t="s">
        <v>332</v>
      </c>
      <c r="AY37" s="407" t="s">
        <v>332</v>
      </c>
      <c r="AZ37" s="408" t="s">
        <v>332</v>
      </c>
      <c r="BA37" s="408" t="s">
        <v>332</v>
      </c>
      <c r="BB37" s="408" t="s">
        <v>332</v>
      </c>
      <c r="BC37" s="407" t="s">
        <v>332</v>
      </c>
      <c r="BD37" s="408" t="s">
        <v>332</v>
      </c>
      <c r="BE37" s="408" t="s">
        <v>332</v>
      </c>
      <c r="BF37" s="515" t="s">
        <v>332</v>
      </c>
    </row>
    <row r="38" spans="1:58" s="625" customFormat="1" ht="11.25">
      <c r="A38" s="623"/>
      <c r="B38" s="623"/>
      <c r="C38" s="589"/>
      <c r="D38" s="588"/>
      <c r="E38" s="588"/>
      <c r="F38" s="624"/>
      <c r="G38" s="589"/>
      <c r="H38" s="588"/>
      <c r="I38" s="588"/>
      <c r="J38" s="624"/>
      <c r="K38" s="588"/>
      <c r="L38" s="588"/>
      <c r="M38" s="588"/>
      <c r="N38" s="588"/>
      <c r="O38" s="589"/>
      <c r="P38" s="588"/>
      <c r="Q38" s="588"/>
      <c r="R38" s="624"/>
      <c r="S38" s="588"/>
      <c r="T38" s="588"/>
      <c r="U38" s="588"/>
      <c r="V38" s="588"/>
      <c r="W38" s="589"/>
      <c r="X38" s="588"/>
      <c r="Y38" s="588"/>
      <c r="Z38" s="624"/>
      <c r="AA38" s="588"/>
      <c r="AB38" s="588"/>
      <c r="AC38" s="588"/>
      <c r="AD38" s="624"/>
      <c r="AE38" s="589"/>
      <c r="AF38" s="588"/>
      <c r="AG38" s="588"/>
      <c r="AH38" s="624"/>
      <c r="AI38" s="588"/>
      <c r="AJ38" s="588"/>
      <c r="AK38" s="588"/>
      <c r="AL38" s="624"/>
      <c r="AM38" s="588"/>
      <c r="AN38" s="588"/>
      <c r="AO38" s="588"/>
      <c r="AP38" s="624"/>
      <c r="AQ38" s="589"/>
      <c r="AR38" s="588"/>
      <c r="AS38" s="588"/>
      <c r="AT38" s="588"/>
      <c r="AU38" s="589"/>
      <c r="AV38" s="588"/>
      <c r="AW38" s="588"/>
      <c r="AX38" s="588"/>
      <c r="AY38" s="589"/>
      <c r="AZ38" s="588"/>
      <c r="BA38" s="588"/>
      <c r="BB38" s="588"/>
      <c r="BC38" s="589"/>
      <c r="BD38" s="588"/>
      <c r="BE38" s="588"/>
      <c r="BF38" s="588"/>
    </row>
    <row r="39" spans="1:58" s="586" customFormat="1" ht="21" customHeight="1">
      <c r="A39" s="626" t="s">
        <v>377</v>
      </c>
      <c r="B39" s="626" t="s">
        <v>363</v>
      </c>
      <c r="C39" s="627"/>
      <c r="D39" s="628"/>
      <c r="E39" s="628"/>
      <c r="F39" s="629"/>
      <c r="G39" s="627"/>
      <c r="H39" s="628"/>
      <c r="I39" s="628"/>
      <c r="J39" s="629"/>
      <c r="K39" s="628"/>
      <c r="L39" s="628"/>
      <c r="M39" s="628"/>
      <c r="N39" s="628"/>
      <c r="O39" s="627"/>
      <c r="P39" s="628"/>
      <c r="Q39" s="628"/>
      <c r="R39" s="629"/>
      <c r="S39" s="630"/>
      <c r="T39" s="630"/>
      <c r="U39" s="630"/>
      <c r="V39" s="630"/>
      <c r="W39" s="631"/>
      <c r="X39" s="630"/>
      <c r="Y39" s="630"/>
      <c r="Z39" s="632"/>
      <c r="AA39" s="630"/>
      <c r="AB39" s="630"/>
      <c r="AC39" s="630"/>
      <c r="AD39" s="632"/>
      <c r="AE39" s="631"/>
      <c r="AF39" s="630"/>
      <c r="AG39" s="630"/>
      <c r="AH39" s="632"/>
      <c r="AI39" s="630"/>
      <c r="AJ39" s="630"/>
      <c r="AK39" s="630"/>
      <c r="AL39" s="632"/>
      <c r="AM39" s="630"/>
      <c r="AN39" s="630"/>
      <c r="AO39" s="630"/>
      <c r="AP39" s="632"/>
      <c r="AQ39" s="631"/>
      <c r="AR39" s="630"/>
      <c r="AS39" s="630"/>
      <c r="AT39" s="630"/>
      <c r="AU39" s="631"/>
      <c r="AV39" s="630"/>
      <c r="AW39" s="630"/>
      <c r="AX39" s="630"/>
      <c r="AY39" s="631"/>
      <c r="AZ39" s="630"/>
      <c r="BA39" s="630"/>
      <c r="BB39" s="630"/>
      <c r="BC39" s="631"/>
      <c r="BD39" s="630"/>
      <c r="BE39" s="630"/>
      <c r="BF39" s="630"/>
    </row>
    <row r="40" spans="1:58" s="586" customFormat="1" ht="11.25">
      <c r="A40" s="532" t="s">
        <v>789</v>
      </c>
      <c r="B40" s="618" t="s">
        <v>786</v>
      </c>
      <c r="C40" s="425" t="s">
        <v>332</v>
      </c>
      <c r="D40" s="337" t="s">
        <v>332</v>
      </c>
      <c r="E40" s="337" t="s">
        <v>332</v>
      </c>
      <c r="F40" s="338" t="s">
        <v>332</v>
      </c>
      <c r="G40" s="425">
        <v>2057.4</v>
      </c>
      <c r="H40" s="337">
        <v>1983.4</v>
      </c>
      <c r="I40" s="337">
        <v>2188.3000000000002</v>
      </c>
      <c r="J40" s="338">
        <v>2580.3000000000002</v>
      </c>
      <c r="K40" s="337">
        <v>2619.3000000000002</v>
      </c>
      <c r="L40" s="337">
        <v>2503.4</v>
      </c>
      <c r="M40" s="337">
        <v>2416</v>
      </c>
      <c r="N40" s="337">
        <v>2432</v>
      </c>
      <c r="O40" s="425">
        <v>2398.1</v>
      </c>
      <c r="P40" s="337">
        <v>2496</v>
      </c>
      <c r="Q40" s="337">
        <v>2581.6</v>
      </c>
      <c r="R40" s="338">
        <v>2581.6</v>
      </c>
      <c r="S40" s="408">
        <v>2725.1</v>
      </c>
      <c r="T40" s="408">
        <v>2806.1</v>
      </c>
      <c r="U40" s="408">
        <v>3056.2</v>
      </c>
      <c r="V40" s="408">
        <v>3176.6</v>
      </c>
      <c r="W40" s="407">
        <v>3414.8</v>
      </c>
      <c r="X40" s="408">
        <v>3345.7000000000003</v>
      </c>
      <c r="Y40" s="408">
        <v>3349.6</v>
      </c>
      <c r="Z40" s="504">
        <v>3285.7999999999997</v>
      </c>
      <c r="AA40" s="408">
        <v>3229.5</v>
      </c>
      <c r="AB40" s="408">
        <v>2974.8</v>
      </c>
      <c r="AC40" s="408">
        <v>2844.5</v>
      </c>
      <c r="AD40" s="504">
        <v>2900.1</v>
      </c>
      <c r="AE40" s="407">
        <v>3077.3</v>
      </c>
      <c r="AF40" s="408">
        <v>3186.1</v>
      </c>
      <c r="AG40" s="408">
        <v>3349.7</v>
      </c>
      <c r="AH40" s="504">
        <v>3291.1</v>
      </c>
      <c r="AI40" s="408">
        <v>3588.3</v>
      </c>
      <c r="AJ40" s="408">
        <v>3927.1</v>
      </c>
      <c r="AK40" s="408">
        <v>4039.2</v>
      </c>
      <c r="AL40" s="504">
        <v>3935.1</v>
      </c>
      <c r="AM40" s="408">
        <v>4108.3999999999996</v>
      </c>
      <c r="AN40" s="408">
        <v>4194.3999999999996</v>
      </c>
      <c r="AO40" s="408">
        <v>4249.2</v>
      </c>
      <c r="AP40" s="504">
        <v>4121.5</v>
      </c>
      <c r="AQ40" s="407">
        <v>4261.1000000000004</v>
      </c>
      <c r="AR40" s="408">
        <v>4561</v>
      </c>
      <c r="AS40" s="408">
        <v>4775.8</v>
      </c>
      <c r="AT40" s="408">
        <v>4552.9000000000005</v>
      </c>
      <c r="AU40" s="407">
        <v>4738.6000000000004</v>
      </c>
      <c r="AV40" s="408">
        <v>5136</v>
      </c>
      <c r="AW40" s="408">
        <v>5434.3</v>
      </c>
      <c r="AX40" s="408">
        <v>5370.9000000000005</v>
      </c>
      <c r="AY40" s="407">
        <v>5595.3</v>
      </c>
      <c r="AZ40" s="408">
        <v>5961.3</v>
      </c>
      <c r="BA40" s="408">
        <v>6008.9</v>
      </c>
      <c r="BB40" s="408">
        <v>6056.5</v>
      </c>
      <c r="BC40" s="407">
        <v>6426</v>
      </c>
      <c r="BD40" s="408">
        <v>6233.6</v>
      </c>
      <c r="BE40" s="408">
        <v>6133.7</v>
      </c>
      <c r="BF40" s="408">
        <v>6196</v>
      </c>
    </row>
    <row r="41" spans="1:58" s="586" customFormat="1" ht="11.25">
      <c r="A41" s="532" t="s">
        <v>790</v>
      </c>
      <c r="B41" s="618" t="s">
        <v>787</v>
      </c>
      <c r="C41" s="425" t="s">
        <v>332</v>
      </c>
      <c r="D41" s="337" t="s">
        <v>332</v>
      </c>
      <c r="E41" s="337" t="s">
        <v>332</v>
      </c>
      <c r="F41" s="338" t="s">
        <v>332</v>
      </c>
      <c r="G41" s="425" t="s">
        <v>332</v>
      </c>
      <c r="H41" s="337" t="s">
        <v>332</v>
      </c>
      <c r="I41" s="337" t="s">
        <v>332</v>
      </c>
      <c r="J41" s="338" t="s">
        <v>332</v>
      </c>
      <c r="K41" s="337" t="s">
        <v>332</v>
      </c>
      <c r="L41" s="337" t="s">
        <v>332</v>
      </c>
      <c r="M41" s="337" t="s">
        <v>332</v>
      </c>
      <c r="N41" s="337" t="s">
        <v>332</v>
      </c>
      <c r="O41" s="425" t="s">
        <v>332</v>
      </c>
      <c r="P41" s="337" t="s">
        <v>332</v>
      </c>
      <c r="Q41" s="337" t="s">
        <v>332</v>
      </c>
      <c r="R41" s="338" t="s">
        <v>332</v>
      </c>
      <c r="S41" s="408" t="s">
        <v>332</v>
      </c>
      <c r="T41" s="408" t="s">
        <v>332</v>
      </c>
      <c r="U41" s="408" t="s">
        <v>332</v>
      </c>
      <c r="V41" s="408">
        <v>329</v>
      </c>
      <c r="W41" s="407">
        <v>285.2</v>
      </c>
      <c r="X41" s="408">
        <v>140.80000000000001</v>
      </c>
      <c r="Y41" s="408">
        <v>372.4</v>
      </c>
      <c r="Z41" s="504">
        <v>444.1</v>
      </c>
      <c r="AA41" s="408">
        <v>475</v>
      </c>
      <c r="AB41" s="408" t="s">
        <v>332</v>
      </c>
      <c r="AC41" s="408" t="s">
        <v>332</v>
      </c>
      <c r="AD41" s="504" t="s">
        <v>332</v>
      </c>
      <c r="AE41" s="407" t="s">
        <v>332</v>
      </c>
      <c r="AF41" s="408" t="s">
        <v>332</v>
      </c>
      <c r="AG41" s="408" t="s">
        <v>332</v>
      </c>
      <c r="AH41" s="504" t="s">
        <v>332</v>
      </c>
      <c r="AI41" s="408" t="s">
        <v>332</v>
      </c>
      <c r="AJ41" s="408" t="s">
        <v>332</v>
      </c>
      <c r="AK41" s="408" t="s">
        <v>332</v>
      </c>
      <c r="AL41" s="504" t="s">
        <v>332</v>
      </c>
      <c r="AM41" s="408" t="s">
        <v>332</v>
      </c>
      <c r="AN41" s="408" t="s">
        <v>332</v>
      </c>
      <c r="AO41" s="408" t="s">
        <v>332</v>
      </c>
      <c r="AP41" s="504" t="s">
        <v>332</v>
      </c>
      <c r="AQ41" s="408" t="s">
        <v>332</v>
      </c>
      <c r="AR41" s="408" t="s">
        <v>332</v>
      </c>
      <c r="AS41" s="408" t="s">
        <v>332</v>
      </c>
      <c r="AT41" s="504" t="s">
        <v>332</v>
      </c>
      <c r="AU41" s="408" t="s">
        <v>332</v>
      </c>
      <c r="AV41" s="408" t="s">
        <v>332</v>
      </c>
      <c r="AW41" s="408" t="s">
        <v>332</v>
      </c>
      <c r="AX41" s="504" t="s">
        <v>332</v>
      </c>
      <c r="AY41" s="408" t="s">
        <v>332</v>
      </c>
      <c r="AZ41" s="408" t="s">
        <v>332</v>
      </c>
      <c r="BA41" s="408" t="s">
        <v>332</v>
      </c>
      <c r="BB41" s="504" t="s">
        <v>332</v>
      </c>
      <c r="BC41" s="408" t="s">
        <v>332</v>
      </c>
      <c r="BD41" s="408" t="s">
        <v>332</v>
      </c>
      <c r="BE41" s="408" t="s">
        <v>332</v>
      </c>
      <c r="BF41" s="507" t="s">
        <v>332</v>
      </c>
    </row>
    <row r="42" spans="1:58" s="586" customFormat="1" ht="11.25">
      <c r="A42" s="532" t="s">
        <v>378</v>
      </c>
      <c r="B42" s="618" t="s">
        <v>364</v>
      </c>
      <c r="C42" s="425" t="s">
        <v>332</v>
      </c>
      <c r="D42" s="337" t="s">
        <v>332</v>
      </c>
      <c r="E42" s="337" t="s">
        <v>332</v>
      </c>
      <c r="F42" s="338" t="s">
        <v>332</v>
      </c>
      <c r="G42" s="425">
        <v>0</v>
      </c>
      <c r="H42" s="337">
        <v>0</v>
      </c>
      <c r="I42" s="337">
        <v>0.1</v>
      </c>
      <c r="J42" s="338">
        <v>1.3</v>
      </c>
      <c r="K42" s="337">
        <v>1.7</v>
      </c>
      <c r="L42" s="337">
        <v>2.2000000000000002</v>
      </c>
      <c r="M42" s="337">
        <v>2.2000000000000002</v>
      </c>
      <c r="N42" s="337">
        <v>2.2000000000000002</v>
      </c>
      <c r="O42" s="425">
        <v>2.2000000000000002</v>
      </c>
      <c r="P42" s="337">
        <v>4.0999999999999996</v>
      </c>
      <c r="Q42" s="337">
        <v>4.5999999999999996</v>
      </c>
      <c r="R42" s="338">
        <v>5.0999999999999996</v>
      </c>
      <c r="S42" s="408">
        <v>5.6</v>
      </c>
      <c r="T42" s="408">
        <v>6.3</v>
      </c>
      <c r="U42" s="408">
        <v>7.1</v>
      </c>
      <c r="V42" s="408">
        <v>7.9</v>
      </c>
      <c r="W42" s="407">
        <v>8.6999999999999993</v>
      </c>
      <c r="X42" s="408">
        <v>9.4</v>
      </c>
      <c r="Y42" s="408">
        <v>12.2</v>
      </c>
      <c r="Z42" s="504">
        <v>13</v>
      </c>
      <c r="AA42" s="408">
        <v>13.6</v>
      </c>
      <c r="AB42" s="408">
        <v>14.2</v>
      </c>
      <c r="AC42" s="408">
        <v>10.3</v>
      </c>
      <c r="AD42" s="504">
        <v>10.3</v>
      </c>
      <c r="AE42" s="407">
        <v>10.3</v>
      </c>
      <c r="AF42" s="408">
        <v>10.3</v>
      </c>
      <c r="AG42" s="408">
        <v>10.3</v>
      </c>
      <c r="AH42" s="504">
        <v>10.3</v>
      </c>
      <c r="AI42" s="408">
        <v>0</v>
      </c>
      <c r="AJ42" s="408">
        <v>0</v>
      </c>
      <c r="AK42" s="408">
        <v>0</v>
      </c>
      <c r="AL42" s="504">
        <v>0</v>
      </c>
      <c r="AM42" s="408">
        <v>0</v>
      </c>
      <c r="AN42" s="408">
        <v>0</v>
      </c>
      <c r="AO42" s="408">
        <v>0</v>
      </c>
      <c r="AP42" s="504"/>
      <c r="AQ42" s="407"/>
      <c r="AR42" s="408"/>
      <c r="AS42" s="408"/>
      <c r="AT42" s="408"/>
      <c r="AU42" s="407"/>
      <c r="AV42" s="408"/>
      <c r="AW42" s="408"/>
      <c r="AX42" s="408"/>
      <c r="AY42" s="407"/>
      <c r="AZ42" s="408"/>
      <c r="BA42" s="408"/>
      <c r="BB42" s="408"/>
      <c r="BC42" s="407"/>
      <c r="BD42" s="408"/>
      <c r="BE42" s="408"/>
      <c r="BF42" s="408"/>
    </row>
    <row r="43" spans="1:58" s="586" customFormat="1" ht="11.25">
      <c r="A43" s="532" t="s">
        <v>791</v>
      </c>
      <c r="B43" s="618" t="s">
        <v>788</v>
      </c>
      <c r="C43" s="425" t="s">
        <v>332</v>
      </c>
      <c r="D43" s="337" t="s">
        <v>332</v>
      </c>
      <c r="E43" s="337" t="s">
        <v>332</v>
      </c>
      <c r="F43" s="338" t="s">
        <v>332</v>
      </c>
      <c r="G43" s="425">
        <v>13.5</v>
      </c>
      <c r="H43" s="337">
        <v>22.8</v>
      </c>
      <c r="I43" s="337">
        <v>31.6</v>
      </c>
      <c r="J43" s="338">
        <v>27.7</v>
      </c>
      <c r="K43" s="337">
        <v>26.1</v>
      </c>
      <c r="L43" s="337">
        <v>19.3</v>
      </c>
      <c r="M43" s="337">
        <v>13.7</v>
      </c>
      <c r="N43" s="337">
        <v>15.3</v>
      </c>
      <c r="O43" s="425">
        <v>8.6999999999999993</v>
      </c>
      <c r="P43" s="337">
        <v>8.6999999999999993</v>
      </c>
      <c r="Q43" s="337">
        <v>0.4</v>
      </c>
      <c r="R43" s="338">
        <v>1.8</v>
      </c>
      <c r="S43" s="408">
        <v>18</v>
      </c>
      <c r="T43" s="408">
        <v>22.2</v>
      </c>
      <c r="U43" s="408">
        <v>0.2</v>
      </c>
      <c r="V43" s="408">
        <v>0</v>
      </c>
      <c r="W43" s="407">
        <v>0</v>
      </c>
      <c r="X43" s="408">
        <v>11</v>
      </c>
      <c r="Y43" s="408">
        <v>0</v>
      </c>
      <c r="Z43" s="504">
        <v>0</v>
      </c>
      <c r="AA43" s="408">
        <v>0</v>
      </c>
      <c r="AB43" s="408">
        <v>0</v>
      </c>
      <c r="AC43" s="408">
        <v>0</v>
      </c>
      <c r="AD43" s="504">
        <v>0</v>
      </c>
      <c r="AE43" s="407">
        <v>0</v>
      </c>
      <c r="AF43" s="408">
        <v>0</v>
      </c>
      <c r="AG43" s="408">
        <v>0</v>
      </c>
      <c r="AH43" s="504">
        <v>0</v>
      </c>
      <c r="AI43" s="408">
        <v>0</v>
      </c>
      <c r="AJ43" s="408">
        <v>0</v>
      </c>
      <c r="AK43" s="408">
        <v>0</v>
      </c>
      <c r="AL43" s="504">
        <v>30</v>
      </c>
      <c r="AM43" s="408">
        <v>0</v>
      </c>
      <c r="AN43" s="408">
        <v>0</v>
      </c>
      <c r="AO43" s="408">
        <v>0</v>
      </c>
      <c r="AP43" s="504">
        <v>77.099999999999994</v>
      </c>
      <c r="AQ43" s="407">
        <v>82</v>
      </c>
      <c r="AR43" s="408">
        <v>73.599999999999994</v>
      </c>
      <c r="AS43" s="408">
        <v>89.6</v>
      </c>
      <c r="AT43" s="408">
        <v>103</v>
      </c>
      <c r="AU43" s="407">
        <v>110</v>
      </c>
      <c r="AV43" s="408">
        <v>125.9</v>
      </c>
      <c r="AW43" s="408">
        <v>103.4</v>
      </c>
      <c r="AX43" s="408">
        <v>130.6</v>
      </c>
      <c r="AY43" s="407">
        <v>141.4</v>
      </c>
      <c r="AZ43" s="408">
        <v>158.6</v>
      </c>
      <c r="BA43" s="408">
        <v>176.9</v>
      </c>
      <c r="BB43" s="408">
        <v>157.1</v>
      </c>
      <c r="BC43" s="407">
        <v>64</v>
      </c>
      <c r="BD43" s="408">
        <v>68</v>
      </c>
      <c r="BE43" s="408">
        <v>78.599999999999994</v>
      </c>
      <c r="BF43" s="408">
        <v>60.9</v>
      </c>
    </row>
    <row r="44" spans="1:58" s="586" customFormat="1" ht="11.25">
      <c r="A44" s="532" t="s">
        <v>379</v>
      </c>
      <c r="B44" s="618" t="s">
        <v>365</v>
      </c>
      <c r="C44" s="425" t="s">
        <v>332</v>
      </c>
      <c r="D44" s="337" t="s">
        <v>332</v>
      </c>
      <c r="E44" s="337" t="s">
        <v>332</v>
      </c>
      <c r="F44" s="338" t="s">
        <v>332</v>
      </c>
      <c r="G44" s="425">
        <v>274.2</v>
      </c>
      <c r="H44" s="337">
        <v>274.2</v>
      </c>
      <c r="I44" s="337">
        <v>274.2</v>
      </c>
      <c r="J44" s="338">
        <v>274.2</v>
      </c>
      <c r="K44" s="337">
        <v>290.8</v>
      </c>
      <c r="L44" s="337">
        <v>290.8</v>
      </c>
      <c r="M44" s="337">
        <v>290.8</v>
      </c>
      <c r="N44" s="337">
        <v>290.8</v>
      </c>
      <c r="O44" s="425">
        <v>326.89999999999998</v>
      </c>
      <c r="P44" s="337">
        <v>326.89999999999998</v>
      </c>
      <c r="Q44" s="337">
        <v>326.89999999999998</v>
      </c>
      <c r="R44" s="338">
        <v>326.89999999999998</v>
      </c>
      <c r="S44" s="408">
        <v>361.7</v>
      </c>
      <c r="T44" s="408">
        <v>361.7</v>
      </c>
      <c r="U44" s="408">
        <v>361.7</v>
      </c>
      <c r="V44" s="408">
        <v>364.6</v>
      </c>
      <c r="W44" s="407">
        <v>405.9</v>
      </c>
      <c r="X44" s="408">
        <v>405.9</v>
      </c>
      <c r="Y44" s="408">
        <v>405.9</v>
      </c>
      <c r="Z44" s="504">
        <v>405.9</v>
      </c>
      <c r="AA44" s="408">
        <v>437.6</v>
      </c>
      <c r="AB44" s="408">
        <v>437.6</v>
      </c>
      <c r="AC44" s="408">
        <v>437.6</v>
      </c>
      <c r="AD44" s="504">
        <v>437.6</v>
      </c>
      <c r="AE44" s="407">
        <v>459.3</v>
      </c>
      <c r="AF44" s="408">
        <v>459.3</v>
      </c>
      <c r="AG44" s="408">
        <v>459.3</v>
      </c>
      <c r="AH44" s="504">
        <v>459.3</v>
      </c>
      <c r="AI44" s="408">
        <v>495.8</v>
      </c>
      <c r="AJ44" s="408">
        <v>495.8</v>
      </c>
      <c r="AK44" s="408">
        <v>495.8</v>
      </c>
      <c r="AL44" s="504">
        <v>495.8</v>
      </c>
      <c r="AM44" s="408">
        <v>521.5</v>
      </c>
      <c r="AN44" s="408">
        <v>521.5</v>
      </c>
      <c r="AO44" s="408">
        <v>521.5</v>
      </c>
      <c r="AP44" s="504">
        <v>521.5</v>
      </c>
      <c r="AQ44" s="407">
        <v>567.1</v>
      </c>
      <c r="AR44" s="408">
        <v>567.1</v>
      </c>
      <c r="AS44" s="408">
        <v>567.1</v>
      </c>
      <c r="AT44" s="408">
        <v>567.1</v>
      </c>
      <c r="AU44" s="407">
        <v>626.9</v>
      </c>
      <c r="AV44" s="408">
        <v>626.9</v>
      </c>
      <c r="AW44" s="408">
        <v>626.9</v>
      </c>
      <c r="AX44" s="408">
        <v>626.9</v>
      </c>
      <c r="AY44" s="407">
        <v>701</v>
      </c>
      <c r="AZ44" s="408">
        <v>701</v>
      </c>
      <c r="BA44" s="408">
        <v>701</v>
      </c>
      <c r="BB44" s="408">
        <v>701</v>
      </c>
      <c r="BC44" s="407">
        <v>784.9</v>
      </c>
      <c r="BD44" s="408">
        <v>747.5</v>
      </c>
      <c r="BE44" s="408">
        <v>747.5</v>
      </c>
      <c r="BF44" s="408">
        <v>747.5</v>
      </c>
    </row>
    <row r="45" spans="1:58" s="586" customFormat="1" ht="11.25">
      <c r="A45" s="532" t="s">
        <v>380</v>
      </c>
      <c r="B45" s="618" t="s">
        <v>366</v>
      </c>
      <c r="C45" s="425" t="s">
        <v>332</v>
      </c>
      <c r="D45" s="337" t="s">
        <v>332</v>
      </c>
      <c r="E45" s="337" t="s">
        <v>332</v>
      </c>
      <c r="F45" s="338" t="s">
        <v>332</v>
      </c>
      <c r="G45" s="425">
        <v>17.2</v>
      </c>
      <c r="H45" s="337">
        <v>35.6</v>
      </c>
      <c r="I45" s="337">
        <v>58.3</v>
      </c>
      <c r="J45" s="338">
        <v>52</v>
      </c>
      <c r="K45" s="337">
        <v>33.9</v>
      </c>
      <c r="L45" s="337">
        <v>44.3</v>
      </c>
      <c r="M45" s="337">
        <v>39</v>
      </c>
      <c r="N45" s="337">
        <v>48</v>
      </c>
      <c r="O45" s="425">
        <v>44.5</v>
      </c>
      <c r="P45" s="337">
        <v>26.1</v>
      </c>
      <c r="Q45" s="337">
        <v>27.2</v>
      </c>
      <c r="R45" s="338">
        <v>19.7</v>
      </c>
      <c r="S45" s="408">
        <v>38.4</v>
      </c>
      <c r="T45" s="408">
        <v>31.3</v>
      </c>
      <c r="U45" s="408">
        <v>33.200000000000003</v>
      </c>
      <c r="V45" s="408">
        <v>24.8</v>
      </c>
      <c r="W45" s="407">
        <v>32.9</v>
      </c>
      <c r="X45" s="408">
        <v>21.7</v>
      </c>
      <c r="Y45" s="408">
        <v>28.2</v>
      </c>
      <c r="Z45" s="504">
        <v>31.4</v>
      </c>
      <c r="AA45" s="408">
        <v>24</v>
      </c>
      <c r="AB45" s="408">
        <v>36.6</v>
      </c>
      <c r="AC45" s="408">
        <v>28.9</v>
      </c>
      <c r="AD45" s="504">
        <v>24.5</v>
      </c>
      <c r="AE45" s="407">
        <v>57.8</v>
      </c>
      <c r="AF45" s="408">
        <v>49.3</v>
      </c>
      <c r="AG45" s="408">
        <v>56.7</v>
      </c>
      <c r="AH45" s="504">
        <v>33.799999999999997</v>
      </c>
      <c r="AI45" s="408">
        <v>46.1</v>
      </c>
      <c r="AJ45" s="408">
        <v>37.9</v>
      </c>
      <c r="AK45" s="408">
        <v>57.2</v>
      </c>
      <c r="AL45" s="504">
        <v>74.3</v>
      </c>
      <c r="AM45" s="408">
        <v>64.099999999999994</v>
      </c>
      <c r="AN45" s="408">
        <v>76.3</v>
      </c>
      <c r="AO45" s="408">
        <v>87.7</v>
      </c>
      <c r="AP45" s="504"/>
      <c r="AQ45" s="407"/>
      <c r="AR45" s="408"/>
      <c r="AS45" s="408"/>
      <c r="AT45" s="408"/>
      <c r="AU45" s="407"/>
      <c r="AV45" s="408"/>
      <c r="AW45" s="408"/>
      <c r="AX45" s="408"/>
      <c r="AY45" s="407"/>
      <c r="AZ45" s="408"/>
      <c r="BA45" s="408"/>
      <c r="BB45" s="408"/>
      <c r="BC45" s="407"/>
      <c r="BD45" s="408"/>
      <c r="BE45" s="408"/>
      <c r="BF45" s="408"/>
    </row>
    <row r="46" spans="1:58" s="586" customFormat="1" ht="11.25">
      <c r="A46" s="532" t="s">
        <v>381</v>
      </c>
      <c r="B46" s="618" t="s">
        <v>367</v>
      </c>
      <c r="C46" s="425" t="s">
        <v>332</v>
      </c>
      <c r="D46" s="337" t="s">
        <v>332</v>
      </c>
      <c r="E46" s="337" t="s">
        <v>332</v>
      </c>
      <c r="F46" s="338" t="s">
        <v>332</v>
      </c>
      <c r="G46" s="425">
        <v>0</v>
      </c>
      <c r="H46" s="337">
        <v>0</v>
      </c>
      <c r="I46" s="337">
        <v>0</v>
      </c>
      <c r="J46" s="338">
        <v>0</v>
      </c>
      <c r="K46" s="337">
        <v>0</v>
      </c>
      <c r="L46" s="337">
        <v>0</v>
      </c>
      <c r="M46" s="337">
        <v>0</v>
      </c>
      <c r="N46" s="337">
        <v>0</v>
      </c>
      <c r="O46" s="425">
        <v>0</v>
      </c>
      <c r="P46" s="337">
        <v>0</v>
      </c>
      <c r="Q46" s="337">
        <v>0</v>
      </c>
      <c r="R46" s="338">
        <v>12</v>
      </c>
      <c r="S46" s="408">
        <v>1.2</v>
      </c>
      <c r="T46" s="408">
        <v>0.9</v>
      </c>
      <c r="U46" s="408">
        <v>33.4</v>
      </c>
      <c r="V46" s="408">
        <v>0</v>
      </c>
      <c r="W46" s="407">
        <v>0</v>
      </c>
      <c r="X46" s="408">
        <v>0</v>
      </c>
      <c r="Y46" s="408">
        <v>0</v>
      </c>
      <c r="Z46" s="504">
        <v>0</v>
      </c>
      <c r="AA46" s="408">
        <v>0</v>
      </c>
      <c r="AB46" s="408">
        <v>0.7</v>
      </c>
      <c r="AC46" s="408">
        <v>0</v>
      </c>
      <c r="AD46" s="504">
        <v>0</v>
      </c>
      <c r="AE46" s="407">
        <v>0</v>
      </c>
      <c r="AF46" s="408">
        <v>0</v>
      </c>
      <c r="AG46" s="408">
        <v>0</v>
      </c>
      <c r="AH46" s="504">
        <v>0</v>
      </c>
      <c r="AI46" s="408">
        <v>0</v>
      </c>
      <c r="AJ46" s="408">
        <v>0</v>
      </c>
      <c r="AK46" s="408">
        <v>0</v>
      </c>
      <c r="AL46" s="504">
        <v>0</v>
      </c>
      <c r="AM46" s="408">
        <v>0</v>
      </c>
      <c r="AN46" s="408">
        <v>0</v>
      </c>
      <c r="AO46" s="408">
        <v>0</v>
      </c>
      <c r="AP46" s="504"/>
      <c r="AQ46" s="407"/>
      <c r="AR46" s="408"/>
      <c r="AS46" s="408"/>
      <c r="AT46" s="408"/>
      <c r="AU46" s="407"/>
      <c r="AV46" s="408"/>
      <c r="AW46" s="408"/>
      <c r="AX46" s="408"/>
      <c r="AY46" s="407"/>
      <c r="AZ46" s="408"/>
      <c r="BA46" s="408"/>
      <c r="BB46" s="408"/>
      <c r="BC46" s="407"/>
      <c r="BD46" s="408"/>
      <c r="BE46" s="408"/>
      <c r="BF46" s="408"/>
    </row>
    <row r="47" spans="1:58" s="586" customFormat="1" ht="11.25">
      <c r="A47" s="532" t="s">
        <v>862</v>
      </c>
      <c r="B47" s="618" t="s">
        <v>903</v>
      </c>
      <c r="C47" s="425"/>
      <c r="D47" s="337"/>
      <c r="E47" s="337"/>
      <c r="F47" s="338"/>
      <c r="G47" s="425"/>
      <c r="H47" s="337"/>
      <c r="I47" s="337"/>
      <c r="J47" s="338"/>
      <c r="K47" s="337"/>
      <c r="L47" s="337"/>
      <c r="M47" s="337"/>
      <c r="N47" s="337"/>
      <c r="O47" s="425"/>
      <c r="P47" s="337"/>
      <c r="Q47" s="337"/>
      <c r="R47" s="338"/>
      <c r="S47" s="408"/>
      <c r="T47" s="408"/>
      <c r="U47" s="408"/>
      <c r="V47" s="408"/>
      <c r="W47" s="407"/>
      <c r="X47" s="408"/>
      <c r="Y47" s="408"/>
      <c r="Z47" s="504"/>
      <c r="AA47" s="408"/>
      <c r="AB47" s="408"/>
      <c r="AC47" s="408"/>
      <c r="AD47" s="504"/>
      <c r="AE47" s="407"/>
      <c r="AF47" s="408"/>
      <c r="AG47" s="408"/>
      <c r="AH47" s="504"/>
      <c r="AI47" s="408"/>
      <c r="AJ47" s="408"/>
      <c r="AK47" s="408"/>
      <c r="AL47" s="504"/>
      <c r="AM47" s="408"/>
      <c r="AN47" s="408"/>
      <c r="AO47" s="408"/>
      <c r="AP47" s="504">
        <v>0</v>
      </c>
      <c r="AQ47" s="407">
        <v>0</v>
      </c>
      <c r="AR47" s="408">
        <v>0</v>
      </c>
      <c r="AS47" s="408">
        <v>0</v>
      </c>
      <c r="AT47" s="408">
        <v>0</v>
      </c>
      <c r="AU47" s="407">
        <v>0</v>
      </c>
      <c r="AV47" s="408">
        <v>0</v>
      </c>
      <c r="AW47" s="408">
        <v>0</v>
      </c>
      <c r="AX47" s="408">
        <v>0</v>
      </c>
      <c r="AY47" s="407">
        <v>0</v>
      </c>
      <c r="AZ47" s="408">
        <v>0</v>
      </c>
      <c r="BA47" s="408">
        <v>2.8</v>
      </c>
      <c r="BB47" s="408">
        <v>3.5</v>
      </c>
      <c r="BC47" s="407">
        <v>0</v>
      </c>
      <c r="BD47" s="408">
        <v>0</v>
      </c>
      <c r="BE47" s="408">
        <v>0</v>
      </c>
      <c r="BF47" s="408">
        <v>0</v>
      </c>
    </row>
    <row r="48" spans="1:58" s="586" customFormat="1" ht="12" thickBot="1">
      <c r="A48" s="532" t="s">
        <v>474</v>
      </c>
      <c r="B48" s="618" t="s">
        <v>426</v>
      </c>
      <c r="C48" s="425" t="s">
        <v>332</v>
      </c>
      <c r="D48" s="337" t="s">
        <v>332</v>
      </c>
      <c r="E48" s="337" t="s">
        <v>332</v>
      </c>
      <c r="F48" s="338" t="s">
        <v>332</v>
      </c>
      <c r="G48" s="425">
        <v>0</v>
      </c>
      <c r="H48" s="337">
        <v>0</v>
      </c>
      <c r="I48" s="337">
        <v>0</v>
      </c>
      <c r="J48" s="338">
        <v>0</v>
      </c>
      <c r="K48" s="337">
        <v>0</v>
      </c>
      <c r="L48" s="337">
        <v>0</v>
      </c>
      <c r="M48" s="337">
        <v>0</v>
      </c>
      <c r="N48" s="337">
        <v>0</v>
      </c>
      <c r="O48" s="425">
        <v>0</v>
      </c>
      <c r="P48" s="337">
        <v>0</v>
      </c>
      <c r="Q48" s="337">
        <v>0</v>
      </c>
      <c r="R48" s="338">
        <v>0</v>
      </c>
      <c r="S48" s="408">
        <v>0</v>
      </c>
      <c r="T48" s="408">
        <v>0</v>
      </c>
      <c r="U48" s="408">
        <v>0</v>
      </c>
      <c r="V48" s="408">
        <v>0</v>
      </c>
      <c r="W48" s="407">
        <v>0</v>
      </c>
      <c r="X48" s="408">
        <v>0</v>
      </c>
      <c r="Y48" s="408">
        <v>0</v>
      </c>
      <c r="Z48" s="504">
        <v>0</v>
      </c>
      <c r="AA48" s="408">
        <v>0</v>
      </c>
      <c r="AB48" s="408">
        <v>0</v>
      </c>
      <c r="AC48" s="408">
        <v>26.7</v>
      </c>
      <c r="AD48" s="504">
        <v>0</v>
      </c>
      <c r="AE48" s="407">
        <v>0</v>
      </c>
      <c r="AF48" s="408">
        <v>0</v>
      </c>
      <c r="AG48" s="408">
        <v>61</v>
      </c>
      <c r="AH48" s="504">
        <v>147</v>
      </c>
      <c r="AI48" s="408">
        <v>0</v>
      </c>
      <c r="AJ48" s="408">
        <v>0</v>
      </c>
      <c r="AK48" s="408">
        <v>0</v>
      </c>
      <c r="AL48" s="504">
        <v>75.900000000000006</v>
      </c>
      <c r="AM48" s="408">
        <v>39.299999999999997</v>
      </c>
      <c r="AN48" s="408">
        <v>120.9</v>
      </c>
      <c r="AO48" s="408">
        <v>132.6</v>
      </c>
      <c r="AP48" s="504">
        <v>273.5</v>
      </c>
      <c r="AQ48" s="407">
        <v>255.2</v>
      </c>
      <c r="AR48" s="408">
        <v>129.1</v>
      </c>
      <c r="AS48" s="408">
        <v>0</v>
      </c>
      <c r="AT48" s="408">
        <v>0</v>
      </c>
      <c r="AU48" s="407">
        <v>0</v>
      </c>
      <c r="AV48" s="408">
        <v>0</v>
      </c>
      <c r="AW48" s="408">
        <v>0</v>
      </c>
      <c r="AX48" s="408">
        <v>0</v>
      </c>
      <c r="AY48" s="407">
        <v>0</v>
      </c>
      <c r="AZ48" s="408">
        <v>0</v>
      </c>
      <c r="BA48" s="408">
        <v>0</v>
      </c>
      <c r="BB48" s="408">
        <v>0</v>
      </c>
      <c r="BC48" s="407">
        <v>0</v>
      </c>
      <c r="BD48" s="408">
        <v>0</v>
      </c>
      <c r="BE48" s="408">
        <v>0</v>
      </c>
      <c r="BF48" s="408">
        <v>0</v>
      </c>
    </row>
    <row r="49" spans="1:58" s="124" customFormat="1" ht="23.25" thickBot="1">
      <c r="A49" s="126" t="s">
        <v>383</v>
      </c>
      <c r="B49" s="126" t="s">
        <v>368</v>
      </c>
      <c r="C49" s="127" t="s">
        <v>332</v>
      </c>
      <c r="D49" s="128" t="s">
        <v>332</v>
      </c>
      <c r="E49" s="128" t="s">
        <v>332</v>
      </c>
      <c r="F49" s="129" t="s">
        <v>332</v>
      </c>
      <c r="G49" s="127" t="s">
        <v>332</v>
      </c>
      <c r="H49" s="128" t="s">
        <v>332</v>
      </c>
      <c r="I49" s="128" t="s">
        <v>332</v>
      </c>
      <c r="J49" s="129" t="s">
        <v>332</v>
      </c>
      <c r="K49" s="128" t="s">
        <v>332</v>
      </c>
      <c r="L49" s="128" t="s">
        <v>332</v>
      </c>
      <c r="M49" s="128" t="s">
        <v>332</v>
      </c>
      <c r="N49" s="128" t="s">
        <v>332</v>
      </c>
      <c r="O49" s="127" t="s">
        <v>332</v>
      </c>
      <c r="P49" s="128" t="s">
        <v>332</v>
      </c>
      <c r="Q49" s="128" t="s">
        <v>332</v>
      </c>
      <c r="R49" s="129" t="s">
        <v>332</v>
      </c>
      <c r="S49" s="128" t="s">
        <v>332</v>
      </c>
      <c r="T49" s="128" t="s">
        <v>332</v>
      </c>
      <c r="U49" s="128" t="s">
        <v>332</v>
      </c>
      <c r="V49" s="128">
        <v>3244.9</v>
      </c>
      <c r="W49" s="127">
        <v>3577.1000000000004</v>
      </c>
      <c r="X49" s="128">
        <v>3652.9</v>
      </c>
      <c r="Y49" s="128">
        <v>3423.4999999999995</v>
      </c>
      <c r="Z49" s="129">
        <v>3292</v>
      </c>
      <c r="AA49" s="128">
        <v>3229.7</v>
      </c>
      <c r="AB49" s="128">
        <v>3463.8999999999996</v>
      </c>
      <c r="AC49" s="128">
        <v>3348</v>
      </c>
      <c r="AD49" s="129">
        <v>3372.5</v>
      </c>
      <c r="AE49" s="127">
        <v>3604.7000000000007</v>
      </c>
      <c r="AF49" s="128">
        <v>3705.0000000000005</v>
      </c>
      <c r="AG49" s="128">
        <v>3937</v>
      </c>
      <c r="AH49" s="129">
        <v>3941.5000000000005</v>
      </c>
      <c r="AI49" s="128">
        <v>4130.2000000000007</v>
      </c>
      <c r="AJ49" s="128">
        <v>4460.7999999999993</v>
      </c>
      <c r="AK49" s="128">
        <v>4592.2</v>
      </c>
      <c r="AL49" s="129">
        <v>4611.0999999999995</v>
      </c>
      <c r="AM49" s="128">
        <v>4733.3</v>
      </c>
      <c r="AN49" s="128">
        <v>4913.0999999999995</v>
      </c>
      <c r="AO49" s="128">
        <v>4991</v>
      </c>
      <c r="AP49" s="129">
        <f t="shared" ref="AP49:BF49" si="27">SUM(AP40,AP42:AP48)</f>
        <v>4993.6000000000004</v>
      </c>
      <c r="AQ49" s="127">
        <f t="shared" si="27"/>
        <v>5165.4000000000005</v>
      </c>
      <c r="AR49" s="128">
        <f t="shared" si="27"/>
        <v>5330.8000000000011</v>
      </c>
      <c r="AS49" s="128">
        <f t="shared" si="27"/>
        <v>5432.5000000000009</v>
      </c>
      <c r="AT49" s="128">
        <f t="shared" si="27"/>
        <v>5223.0000000000009</v>
      </c>
      <c r="AU49" s="127">
        <f t="shared" si="27"/>
        <v>5475.5</v>
      </c>
      <c r="AV49" s="128">
        <f t="shared" si="27"/>
        <v>5888.7999999999993</v>
      </c>
      <c r="AW49" s="128">
        <f t="shared" si="27"/>
        <v>6164.5999999999995</v>
      </c>
      <c r="AX49" s="128">
        <f t="shared" si="27"/>
        <v>6128.4000000000005</v>
      </c>
      <c r="AY49" s="127">
        <f t="shared" si="27"/>
        <v>6437.7</v>
      </c>
      <c r="AZ49" s="128">
        <f t="shared" si="27"/>
        <v>6820.9000000000005</v>
      </c>
      <c r="BA49" s="128">
        <f t="shared" si="27"/>
        <v>6889.5999999999995</v>
      </c>
      <c r="BB49" s="128">
        <f t="shared" si="27"/>
        <v>6918.1</v>
      </c>
      <c r="BC49" s="127">
        <f t="shared" si="27"/>
        <v>7274.9</v>
      </c>
      <c r="BD49" s="128">
        <f t="shared" si="27"/>
        <v>7049.1</v>
      </c>
      <c r="BE49" s="128">
        <f t="shared" si="27"/>
        <v>6959.8</v>
      </c>
      <c r="BF49" s="128">
        <f t="shared" si="27"/>
        <v>7004.4</v>
      </c>
    </row>
    <row r="50" spans="1:58" s="124" customFormat="1" ht="12" thickBot="1">
      <c r="A50" s="130"/>
      <c r="B50" s="130"/>
      <c r="C50" s="131"/>
      <c r="D50" s="132"/>
      <c r="E50" s="132"/>
      <c r="F50" s="133"/>
      <c r="G50" s="131"/>
      <c r="H50" s="132"/>
      <c r="I50" s="132"/>
      <c r="J50" s="133"/>
      <c r="K50" s="132"/>
      <c r="L50" s="132"/>
      <c r="M50" s="132"/>
      <c r="N50" s="132"/>
      <c r="O50" s="131"/>
      <c r="P50" s="132"/>
      <c r="Q50" s="132"/>
      <c r="R50" s="133"/>
      <c r="S50" s="134"/>
      <c r="T50" s="134"/>
      <c r="U50" s="134"/>
      <c r="V50" s="134"/>
      <c r="W50" s="135"/>
      <c r="X50" s="134"/>
      <c r="Y50" s="134"/>
      <c r="Z50" s="136"/>
      <c r="AA50" s="134"/>
      <c r="AB50" s="134"/>
      <c r="AC50" s="134"/>
      <c r="AD50" s="136"/>
      <c r="AE50" s="135"/>
      <c r="AF50" s="134"/>
      <c r="AG50" s="134"/>
      <c r="AH50" s="136"/>
      <c r="AI50" s="134"/>
      <c r="AJ50" s="134"/>
      <c r="AK50" s="134"/>
      <c r="AL50" s="136"/>
      <c r="AM50" s="134"/>
      <c r="AN50" s="134"/>
      <c r="AO50" s="134"/>
      <c r="AP50" s="136"/>
      <c r="AQ50" s="135"/>
      <c r="AR50" s="134"/>
      <c r="AS50" s="134"/>
      <c r="AT50" s="134"/>
      <c r="AU50" s="135"/>
      <c r="AV50" s="134"/>
      <c r="AW50" s="134"/>
      <c r="AX50" s="134"/>
      <c r="AY50" s="135"/>
      <c r="AZ50" s="134"/>
      <c r="BA50" s="134"/>
      <c r="BB50" s="134"/>
      <c r="BC50" s="135"/>
      <c r="BD50" s="134"/>
      <c r="BE50" s="134"/>
      <c r="BF50" s="134"/>
    </row>
    <row r="51" spans="1:58" s="124" customFormat="1" ht="23.25" thickBot="1">
      <c r="A51" s="126" t="s">
        <v>384</v>
      </c>
      <c r="B51" s="126" t="s">
        <v>369</v>
      </c>
      <c r="C51" s="127">
        <v>1678.5</v>
      </c>
      <c r="D51" s="128">
        <v>1792.3</v>
      </c>
      <c r="E51" s="128">
        <v>1907</v>
      </c>
      <c r="F51" s="129">
        <v>1819.4</v>
      </c>
      <c r="G51" s="127">
        <v>2362.2999999999997</v>
      </c>
      <c r="H51" s="128">
        <v>2316</v>
      </c>
      <c r="I51" s="128">
        <v>2552.5</v>
      </c>
      <c r="J51" s="129">
        <v>2935.5</v>
      </c>
      <c r="K51" s="128">
        <v>2971.8</v>
      </c>
      <c r="L51" s="128">
        <v>2860.0000000000005</v>
      </c>
      <c r="M51" s="128">
        <v>2761.7</v>
      </c>
      <c r="N51" s="128">
        <v>2788.3</v>
      </c>
      <c r="O51" s="127">
        <v>2780.3999999999996</v>
      </c>
      <c r="P51" s="128">
        <v>2861.7999999999997</v>
      </c>
      <c r="Q51" s="128">
        <v>2940.7</v>
      </c>
      <c r="R51" s="129">
        <v>2947.1</v>
      </c>
      <c r="S51" s="128">
        <v>3149.9999999999995</v>
      </c>
      <c r="T51" s="128">
        <v>3228.5</v>
      </c>
      <c r="U51" s="128">
        <v>3491.7999999999993</v>
      </c>
      <c r="V51" s="128">
        <v>3573.9</v>
      </c>
      <c r="W51" s="127">
        <v>3862.3</v>
      </c>
      <c r="X51" s="128">
        <v>3793.7000000000003</v>
      </c>
      <c r="Y51" s="128">
        <v>3795.8999999999996</v>
      </c>
      <c r="Z51" s="129">
        <v>3736.1</v>
      </c>
      <c r="AA51" s="128">
        <v>3704.7</v>
      </c>
      <c r="AB51" s="128" t="s">
        <v>332</v>
      </c>
      <c r="AC51" s="128" t="s">
        <v>332</v>
      </c>
      <c r="AD51" s="129" t="s">
        <v>332</v>
      </c>
      <c r="AE51" s="127" t="s">
        <v>332</v>
      </c>
      <c r="AF51" s="128" t="s">
        <v>332</v>
      </c>
      <c r="AG51" s="128" t="s">
        <v>332</v>
      </c>
      <c r="AH51" s="129" t="s">
        <v>332</v>
      </c>
      <c r="AI51" s="128" t="s">
        <v>332</v>
      </c>
      <c r="AJ51" s="128" t="s">
        <v>332</v>
      </c>
      <c r="AK51" s="128" t="s">
        <v>332</v>
      </c>
      <c r="AL51" s="129" t="s">
        <v>332</v>
      </c>
      <c r="AM51" s="128" t="s">
        <v>332</v>
      </c>
      <c r="AN51" s="128" t="s">
        <v>332</v>
      </c>
      <c r="AO51" s="128" t="s">
        <v>332</v>
      </c>
      <c r="AP51" s="129" t="s">
        <v>332</v>
      </c>
      <c r="AQ51" s="127" t="s">
        <v>332</v>
      </c>
      <c r="AR51" s="128" t="s">
        <v>332</v>
      </c>
      <c r="AS51" s="128" t="s">
        <v>332</v>
      </c>
      <c r="AT51" s="128" t="s">
        <v>332</v>
      </c>
      <c r="AU51" s="127" t="s">
        <v>332</v>
      </c>
      <c r="AV51" s="128" t="s">
        <v>332</v>
      </c>
      <c r="AW51" s="128" t="s">
        <v>332</v>
      </c>
      <c r="AX51" s="128" t="s">
        <v>332</v>
      </c>
      <c r="AY51" s="127" t="s">
        <v>332</v>
      </c>
      <c r="AZ51" s="128" t="s">
        <v>332</v>
      </c>
      <c r="BA51" s="128" t="s">
        <v>332</v>
      </c>
      <c r="BB51" s="128" t="s">
        <v>332</v>
      </c>
      <c r="BC51" s="127" t="s">
        <v>332</v>
      </c>
      <c r="BD51" s="128" t="s">
        <v>332</v>
      </c>
      <c r="BE51" s="128" t="s">
        <v>332</v>
      </c>
      <c r="BF51" s="128" t="s">
        <v>332</v>
      </c>
    </row>
    <row r="52" spans="1:58" s="124" customFormat="1" ht="11.25">
      <c r="A52" s="130"/>
      <c r="B52" s="130"/>
      <c r="C52" s="131"/>
      <c r="D52" s="132"/>
      <c r="E52" s="132"/>
      <c r="F52" s="133"/>
      <c r="G52" s="131"/>
      <c r="H52" s="132"/>
      <c r="I52" s="132"/>
      <c r="J52" s="133"/>
      <c r="K52" s="132"/>
      <c r="L52" s="132"/>
      <c r="M52" s="132"/>
      <c r="N52" s="132"/>
      <c r="O52" s="131"/>
      <c r="P52" s="132"/>
      <c r="Q52" s="132"/>
      <c r="R52" s="133"/>
      <c r="S52" s="134"/>
      <c r="T52" s="134"/>
      <c r="U52" s="134"/>
      <c r="V52" s="134"/>
      <c r="W52" s="135"/>
      <c r="X52" s="134"/>
      <c r="Y52" s="134"/>
      <c r="Z52" s="136"/>
      <c r="AA52" s="134"/>
      <c r="AB52" s="134"/>
      <c r="AC52" s="134"/>
      <c r="AD52" s="136"/>
      <c r="AE52" s="135"/>
      <c r="AF52" s="134"/>
      <c r="AG52" s="134"/>
      <c r="AH52" s="136"/>
      <c r="AI52" s="134"/>
      <c r="AJ52" s="134"/>
      <c r="AK52" s="134"/>
      <c r="AL52" s="136"/>
      <c r="AM52" s="134"/>
      <c r="AN52" s="134"/>
      <c r="AO52" s="134"/>
      <c r="AP52" s="136"/>
      <c r="AQ52" s="135"/>
      <c r="AR52" s="134"/>
      <c r="AS52" s="134"/>
      <c r="AT52" s="134"/>
      <c r="AU52" s="135"/>
      <c r="AV52" s="134"/>
      <c r="AW52" s="134"/>
      <c r="AX52" s="134"/>
      <c r="AY52" s="135"/>
      <c r="AZ52" s="134"/>
      <c r="BA52" s="134"/>
      <c r="BB52" s="134"/>
      <c r="BC52" s="135"/>
      <c r="BD52" s="134"/>
      <c r="BE52" s="134"/>
      <c r="BF52" s="134"/>
    </row>
    <row r="53" spans="1:58" s="124" customFormat="1" ht="11.25">
      <c r="A53" s="57" t="s">
        <v>482</v>
      </c>
      <c r="B53" s="57" t="s">
        <v>475</v>
      </c>
      <c r="C53" s="137">
        <f>C56</f>
        <v>0.13739999999999999</v>
      </c>
      <c r="D53" s="138">
        <f t="shared" ref="D53:U53" si="28">D56</f>
        <v>0.1341</v>
      </c>
      <c r="E53" s="138">
        <f t="shared" si="28"/>
        <v>0.1305</v>
      </c>
      <c r="F53" s="139">
        <f t="shared" si="28"/>
        <v>0.13120000000000001</v>
      </c>
      <c r="G53" s="137">
        <f t="shared" si="28"/>
        <v>0.11020000000000001</v>
      </c>
      <c r="H53" s="138">
        <f t="shared" si="28"/>
        <v>0.11219999999999999</v>
      </c>
      <c r="I53" s="138">
        <f t="shared" si="28"/>
        <v>0.11899999999999999</v>
      </c>
      <c r="J53" s="139">
        <f t="shared" si="28"/>
        <v>0.10390000000000001</v>
      </c>
      <c r="K53" s="137">
        <f t="shared" si="28"/>
        <v>0.10100000000000001</v>
      </c>
      <c r="L53" s="138">
        <f t="shared" si="28"/>
        <v>0.1087</v>
      </c>
      <c r="M53" s="138">
        <f t="shared" si="28"/>
        <v>0.1207</v>
      </c>
      <c r="N53" s="139">
        <f t="shared" si="28"/>
        <v>0.1201</v>
      </c>
      <c r="O53" s="137">
        <f t="shared" si="28"/>
        <v>0.13</v>
      </c>
      <c r="P53" s="138">
        <f t="shared" si="28"/>
        <v>0.12559999999999999</v>
      </c>
      <c r="Q53" s="138">
        <f t="shared" si="28"/>
        <v>0.13300000000000001</v>
      </c>
      <c r="R53" s="139">
        <f t="shared" si="28"/>
        <v>0.13150000000000001</v>
      </c>
      <c r="S53" s="137">
        <f t="shared" si="28"/>
        <v>0.12740000000000001</v>
      </c>
      <c r="T53" s="138">
        <f t="shared" si="28"/>
        <v>0.12609999999999999</v>
      </c>
      <c r="U53" s="138">
        <f t="shared" si="28"/>
        <v>0.12559999999999999</v>
      </c>
      <c r="V53" s="139">
        <f t="shared" ref="V53:AA53" si="29">ROUND(V29/(V51*12.5),4)</f>
        <v>0.1192</v>
      </c>
      <c r="W53" s="137">
        <f t="shared" si="29"/>
        <v>0.1211</v>
      </c>
      <c r="X53" s="138">
        <f t="shared" si="29"/>
        <v>0.1298</v>
      </c>
      <c r="Y53" s="138">
        <f t="shared" si="29"/>
        <v>0.13669999999999999</v>
      </c>
      <c r="Z53" s="139">
        <f t="shared" si="29"/>
        <v>0.14549999999999999</v>
      </c>
      <c r="AA53" s="137">
        <f t="shared" si="29"/>
        <v>0.1515</v>
      </c>
      <c r="AB53" s="138">
        <f t="shared" ref="AB53:BF53" si="30">AB54</f>
        <v>0.1583</v>
      </c>
      <c r="AC53" s="138">
        <f t="shared" si="30"/>
        <v>0.1739</v>
      </c>
      <c r="AD53" s="139">
        <f t="shared" si="30"/>
        <v>0.17280000000000001</v>
      </c>
      <c r="AE53" s="137">
        <f t="shared" si="30"/>
        <v>0.1457</v>
      </c>
      <c r="AF53" s="138">
        <f t="shared" si="30"/>
        <v>0.15040000000000001</v>
      </c>
      <c r="AG53" s="138">
        <f t="shared" si="30"/>
        <v>0.14180000000000001</v>
      </c>
      <c r="AH53" s="139">
        <f t="shared" si="30"/>
        <v>0.14169999999999999</v>
      </c>
      <c r="AI53" s="138">
        <f t="shared" si="30"/>
        <v>0.14810000000000001</v>
      </c>
      <c r="AJ53" s="138">
        <f t="shared" si="30"/>
        <v>0.13700000000000001</v>
      </c>
      <c r="AK53" s="138">
        <f t="shared" si="30"/>
        <v>0.1366</v>
      </c>
      <c r="AL53" s="139">
        <f t="shared" si="30"/>
        <v>0.13739999999999999</v>
      </c>
      <c r="AM53" s="138">
        <f t="shared" si="30"/>
        <v>0.1411</v>
      </c>
      <c r="AN53" s="138">
        <f t="shared" si="30"/>
        <v>0.14580000000000001</v>
      </c>
      <c r="AO53" s="138">
        <f t="shared" si="30"/>
        <v>0.14799999999999999</v>
      </c>
      <c r="AP53" s="139">
        <f t="shared" si="30"/>
        <v>0.14729999999999999</v>
      </c>
      <c r="AQ53" s="137">
        <f t="shared" si="30"/>
        <v>0.1429</v>
      </c>
      <c r="AR53" s="138">
        <f t="shared" si="30"/>
        <v>0.15279999999999999</v>
      </c>
      <c r="AS53" s="138">
        <f t="shared" si="30"/>
        <v>0.15049999999999999</v>
      </c>
      <c r="AT53" s="138">
        <f t="shared" si="30"/>
        <v>0.1671</v>
      </c>
      <c r="AU53" s="137">
        <f t="shared" si="30"/>
        <v>0.1605</v>
      </c>
      <c r="AV53" s="138">
        <f t="shared" si="30"/>
        <v>0.15240000000000001</v>
      </c>
      <c r="AW53" s="138">
        <f t="shared" si="30"/>
        <v>0.15240000000000001</v>
      </c>
      <c r="AX53" s="138">
        <f t="shared" si="30"/>
        <v>0.15579999999999999</v>
      </c>
      <c r="AY53" s="137">
        <f t="shared" si="30"/>
        <v>0.15820000000000001</v>
      </c>
      <c r="AZ53" s="138">
        <f t="shared" si="30"/>
        <v>0.15029999999999999</v>
      </c>
      <c r="BA53" s="138">
        <f t="shared" si="30"/>
        <v>0.15459999999999999</v>
      </c>
      <c r="BB53" s="138">
        <f t="shared" si="30"/>
        <v>0.16869999999999999</v>
      </c>
      <c r="BC53" s="137">
        <f t="shared" si="30"/>
        <v>0.15759999999999999</v>
      </c>
      <c r="BD53" s="138">
        <f t="shared" si="30"/>
        <v>0.18310000000000001</v>
      </c>
      <c r="BE53" s="138">
        <f t="shared" si="30"/>
        <v>0.18640000000000001</v>
      </c>
      <c r="BF53" s="138">
        <f t="shared" si="30"/>
        <v>0.18720000000000001</v>
      </c>
    </row>
    <row r="54" spans="1:58" s="145" customFormat="1" ht="11.25">
      <c r="A54" s="140" t="s">
        <v>567</v>
      </c>
      <c r="B54" s="141" t="s">
        <v>573</v>
      </c>
      <c r="C54" s="142" t="s">
        <v>332</v>
      </c>
      <c r="D54" s="143" t="s">
        <v>332</v>
      </c>
      <c r="E54" s="143" t="s">
        <v>332</v>
      </c>
      <c r="F54" s="144" t="s">
        <v>332</v>
      </c>
      <c r="G54" s="142" t="s">
        <v>332</v>
      </c>
      <c r="H54" s="143" t="s">
        <v>332</v>
      </c>
      <c r="I54" s="143" t="s">
        <v>332</v>
      </c>
      <c r="J54" s="144" t="s">
        <v>332</v>
      </c>
      <c r="K54" s="142" t="s">
        <v>332</v>
      </c>
      <c r="L54" s="143" t="s">
        <v>332</v>
      </c>
      <c r="M54" s="143" t="s">
        <v>332</v>
      </c>
      <c r="N54" s="144" t="s">
        <v>332</v>
      </c>
      <c r="O54" s="142" t="s">
        <v>332</v>
      </c>
      <c r="P54" s="143" t="s">
        <v>332</v>
      </c>
      <c r="Q54" s="143" t="s">
        <v>332</v>
      </c>
      <c r="R54" s="144" t="s">
        <v>332</v>
      </c>
      <c r="S54" s="142" t="s">
        <v>332</v>
      </c>
      <c r="T54" s="143" t="s">
        <v>332</v>
      </c>
      <c r="U54" s="143" t="s">
        <v>332</v>
      </c>
      <c r="V54" s="144">
        <f t="shared" ref="V54:BE54" si="31">ROUND(V29/(V49*12.5),4)</f>
        <v>0.1313</v>
      </c>
      <c r="W54" s="142">
        <f t="shared" si="31"/>
        <v>0.13070000000000001</v>
      </c>
      <c r="X54" s="143">
        <f t="shared" si="31"/>
        <v>0.13489999999999999</v>
      </c>
      <c r="Y54" s="143">
        <f t="shared" si="31"/>
        <v>0.15160000000000001</v>
      </c>
      <c r="Z54" s="144">
        <f t="shared" si="31"/>
        <v>0.16520000000000001</v>
      </c>
      <c r="AA54" s="142">
        <f t="shared" si="31"/>
        <v>0.17380000000000001</v>
      </c>
      <c r="AB54" s="143">
        <f t="shared" si="31"/>
        <v>0.1583</v>
      </c>
      <c r="AC54" s="143">
        <f t="shared" si="31"/>
        <v>0.1739</v>
      </c>
      <c r="AD54" s="144">
        <f t="shared" si="31"/>
        <v>0.17280000000000001</v>
      </c>
      <c r="AE54" s="142">
        <f t="shared" si="31"/>
        <v>0.1457</v>
      </c>
      <c r="AF54" s="143">
        <f t="shared" si="31"/>
        <v>0.15040000000000001</v>
      </c>
      <c r="AG54" s="143">
        <f t="shared" si="31"/>
        <v>0.14180000000000001</v>
      </c>
      <c r="AH54" s="144">
        <f t="shared" si="31"/>
        <v>0.14169999999999999</v>
      </c>
      <c r="AI54" s="143">
        <f t="shared" si="31"/>
        <v>0.14810000000000001</v>
      </c>
      <c r="AJ54" s="143">
        <f t="shared" si="31"/>
        <v>0.13700000000000001</v>
      </c>
      <c r="AK54" s="143">
        <f t="shared" si="31"/>
        <v>0.1366</v>
      </c>
      <c r="AL54" s="144">
        <f t="shared" si="31"/>
        <v>0.13739999999999999</v>
      </c>
      <c r="AM54" s="143">
        <f t="shared" si="31"/>
        <v>0.1411</v>
      </c>
      <c r="AN54" s="143">
        <f t="shared" si="31"/>
        <v>0.14580000000000001</v>
      </c>
      <c r="AO54" s="143">
        <f t="shared" si="31"/>
        <v>0.14799999999999999</v>
      </c>
      <c r="AP54" s="144">
        <f t="shared" si="31"/>
        <v>0.14729999999999999</v>
      </c>
      <c r="AQ54" s="142">
        <f t="shared" si="31"/>
        <v>0.1429</v>
      </c>
      <c r="AR54" s="143">
        <f t="shared" si="31"/>
        <v>0.15279999999999999</v>
      </c>
      <c r="AS54" s="143">
        <f t="shared" si="31"/>
        <v>0.15049999999999999</v>
      </c>
      <c r="AT54" s="143">
        <f t="shared" si="31"/>
        <v>0.1671</v>
      </c>
      <c r="AU54" s="142">
        <f t="shared" si="31"/>
        <v>0.1605</v>
      </c>
      <c r="AV54" s="143">
        <f t="shared" si="31"/>
        <v>0.15240000000000001</v>
      </c>
      <c r="AW54" s="143">
        <f t="shared" si="31"/>
        <v>0.15240000000000001</v>
      </c>
      <c r="AX54" s="143">
        <f t="shared" si="31"/>
        <v>0.15579999999999999</v>
      </c>
      <c r="AY54" s="142">
        <f t="shared" si="31"/>
        <v>0.15820000000000001</v>
      </c>
      <c r="AZ54" s="143">
        <f t="shared" si="31"/>
        <v>0.15029999999999999</v>
      </c>
      <c r="BA54" s="143">
        <f t="shared" si="31"/>
        <v>0.15459999999999999</v>
      </c>
      <c r="BB54" s="143">
        <f t="shared" si="31"/>
        <v>0.16869999999999999</v>
      </c>
      <c r="BC54" s="142">
        <f t="shared" si="31"/>
        <v>0.15759999999999999</v>
      </c>
      <c r="BD54" s="143">
        <f t="shared" si="31"/>
        <v>0.18310000000000001</v>
      </c>
      <c r="BE54" s="143">
        <f t="shared" si="31"/>
        <v>0.18640000000000001</v>
      </c>
      <c r="BF54" s="143">
        <f t="shared" ref="BF54" si="32">ROUND(BF29/(BF49*12.5),4)</f>
        <v>0.18720000000000001</v>
      </c>
    </row>
    <row r="55" spans="1:58" s="145" customFormat="1" ht="11.25">
      <c r="A55" s="140" t="s">
        <v>568</v>
      </c>
      <c r="B55" s="141" t="s">
        <v>569</v>
      </c>
      <c r="C55" s="146" t="s">
        <v>332</v>
      </c>
      <c r="D55" s="147" t="s">
        <v>332</v>
      </c>
      <c r="E55" s="147" t="s">
        <v>332</v>
      </c>
      <c r="F55" s="148" t="s">
        <v>332</v>
      </c>
      <c r="G55" s="146" t="s">
        <v>332</v>
      </c>
      <c r="H55" s="147" t="s">
        <v>332</v>
      </c>
      <c r="I55" s="147" t="s">
        <v>332</v>
      </c>
      <c r="J55" s="148" t="s">
        <v>332</v>
      </c>
      <c r="K55" s="146" t="s">
        <v>332</v>
      </c>
      <c r="L55" s="147" t="s">
        <v>332</v>
      </c>
      <c r="M55" s="147" t="s">
        <v>332</v>
      </c>
      <c r="N55" s="148" t="s">
        <v>332</v>
      </c>
      <c r="O55" s="146" t="s">
        <v>332</v>
      </c>
      <c r="P55" s="147" t="s">
        <v>332</v>
      </c>
      <c r="Q55" s="147" t="s">
        <v>332</v>
      </c>
      <c r="R55" s="148" t="s">
        <v>332</v>
      </c>
      <c r="S55" s="146" t="s">
        <v>332</v>
      </c>
      <c r="T55" s="147" t="s">
        <v>332</v>
      </c>
      <c r="U55" s="147" t="s">
        <v>332</v>
      </c>
      <c r="V55" s="148" t="s">
        <v>332</v>
      </c>
      <c r="W55" s="146" t="s">
        <v>332</v>
      </c>
      <c r="X55" s="147" t="s">
        <v>332</v>
      </c>
      <c r="Y55" s="147" t="s">
        <v>332</v>
      </c>
      <c r="Z55" s="148" t="s">
        <v>332</v>
      </c>
      <c r="AA55" s="146" t="s">
        <v>332</v>
      </c>
      <c r="AB55" s="147" t="s">
        <v>332</v>
      </c>
      <c r="AC55" s="147" t="s">
        <v>332</v>
      </c>
      <c r="AD55" s="148" t="s">
        <v>332</v>
      </c>
      <c r="AE55" s="146" t="s">
        <v>332</v>
      </c>
      <c r="AF55" s="147" t="s">
        <v>332</v>
      </c>
      <c r="AG55" s="147" t="s">
        <v>332</v>
      </c>
      <c r="AH55" s="148" t="s">
        <v>332</v>
      </c>
      <c r="AI55" s="147" t="s">
        <v>332</v>
      </c>
      <c r="AJ55" s="147" t="s">
        <v>332</v>
      </c>
      <c r="AK55" s="147" t="s">
        <v>332</v>
      </c>
      <c r="AL55" s="148" t="s">
        <v>332</v>
      </c>
      <c r="AM55" s="147" t="s">
        <v>332</v>
      </c>
      <c r="AN55" s="147" t="s">
        <v>332</v>
      </c>
      <c r="AO55" s="147" t="s">
        <v>332</v>
      </c>
      <c r="AP55" s="148" t="s">
        <v>332</v>
      </c>
      <c r="AQ55" s="146" t="s">
        <v>332</v>
      </c>
      <c r="AR55" s="147" t="s">
        <v>332</v>
      </c>
      <c r="AS55" s="147" t="s">
        <v>332</v>
      </c>
      <c r="AT55" s="143" t="s">
        <v>332</v>
      </c>
      <c r="AU55" s="143">
        <v>0.15718454935622317</v>
      </c>
      <c r="AV55" s="143">
        <v>0.14931123488656434</v>
      </c>
      <c r="AW55" s="143">
        <v>0.14976219057197548</v>
      </c>
      <c r="AX55" s="143">
        <v>0.15324818325253584</v>
      </c>
      <c r="AY55" s="143">
        <v>0.15579170895464128</v>
      </c>
      <c r="AZ55" s="143">
        <v>0.147272086879953</v>
      </c>
      <c r="BA55" s="143">
        <v>0.15180634662327097</v>
      </c>
      <c r="BB55" s="143">
        <v>0.16640787378781297</v>
      </c>
      <c r="BC55" s="143">
        <v>0.15573750189208901</v>
      </c>
      <c r="BD55" s="143">
        <v>0.1807</v>
      </c>
      <c r="BE55" s="143">
        <v>0.18379999999999999</v>
      </c>
      <c r="BF55" s="143">
        <v>0.18479999999999999</v>
      </c>
    </row>
    <row r="56" spans="1:58" s="145" customFormat="1" ht="11.25">
      <c r="A56" s="141" t="s">
        <v>483</v>
      </c>
      <c r="B56" s="141" t="s">
        <v>476</v>
      </c>
      <c r="C56" s="142">
        <f t="shared" ref="C56:AA56" si="33">ROUND(C34/(C51*12.5),4)</f>
        <v>0.13739999999999999</v>
      </c>
      <c r="D56" s="143">
        <f t="shared" si="33"/>
        <v>0.1341</v>
      </c>
      <c r="E56" s="143">
        <f t="shared" si="33"/>
        <v>0.1305</v>
      </c>
      <c r="F56" s="144">
        <f t="shared" si="33"/>
        <v>0.13120000000000001</v>
      </c>
      <c r="G56" s="142">
        <f t="shared" si="33"/>
        <v>0.11020000000000001</v>
      </c>
      <c r="H56" s="143">
        <f t="shared" si="33"/>
        <v>0.11219999999999999</v>
      </c>
      <c r="I56" s="143">
        <f t="shared" si="33"/>
        <v>0.11899999999999999</v>
      </c>
      <c r="J56" s="144">
        <f t="shared" si="33"/>
        <v>0.10390000000000001</v>
      </c>
      <c r="K56" s="142">
        <f t="shared" si="33"/>
        <v>0.10100000000000001</v>
      </c>
      <c r="L56" s="143">
        <f t="shared" si="33"/>
        <v>0.1087</v>
      </c>
      <c r="M56" s="143">
        <f t="shared" si="33"/>
        <v>0.1207</v>
      </c>
      <c r="N56" s="144">
        <f t="shared" si="33"/>
        <v>0.1201</v>
      </c>
      <c r="O56" s="142">
        <f t="shared" si="33"/>
        <v>0.13</v>
      </c>
      <c r="P56" s="143">
        <f t="shared" si="33"/>
        <v>0.12559999999999999</v>
      </c>
      <c r="Q56" s="143">
        <f t="shared" si="33"/>
        <v>0.13300000000000001</v>
      </c>
      <c r="R56" s="144">
        <f t="shared" si="33"/>
        <v>0.13150000000000001</v>
      </c>
      <c r="S56" s="142">
        <f t="shared" si="33"/>
        <v>0.12740000000000001</v>
      </c>
      <c r="T56" s="143">
        <f t="shared" si="33"/>
        <v>0.12609999999999999</v>
      </c>
      <c r="U56" s="143">
        <f t="shared" si="33"/>
        <v>0.12559999999999999</v>
      </c>
      <c r="V56" s="144">
        <f t="shared" si="33"/>
        <v>0.1227</v>
      </c>
      <c r="W56" s="142">
        <f t="shared" si="33"/>
        <v>0.12429999999999999</v>
      </c>
      <c r="X56" s="143">
        <f t="shared" si="33"/>
        <v>0.1328</v>
      </c>
      <c r="Y56" s="143">
        <f t="shared" si="33"/>
        <v>0.13969999999999999</v>
      </c>
      <c r="Z56" s="144">
        <f t="shared" si="33"/>
        <v>0.14829999999999999</v>
      </c>
      <c r="AA56" s="142">
        <f t="shared" si="33"/>
        <v>0.1545</v>
      </c>
      <c r="AB56" s="143" t="s">
        <v>332</v>
      </c>
      <c r="AC56" s="143" t="s">
        <v>332</v>
      </c>
      <c r="AD56" s="144" t="s">
        <v>332</v>
      </c>
      <c r="AE56" s="142" t="s">
        <v>332</v>
      </c>
      <c r="AF56" s="143" t="s">
        <v>332</v>
      </c>
      <c r="AG56" s="143" t="s">
        <v>332</v>
      </c>
      <c r="AH56" s="144" t="s">
        <v>332</v>
      </c>
      <c r="AI56" s="143" t="s">
        <v>332</v>
      </c>
      <c r="AJ56" s="143" t="s">
        <v>332</v>
      </c>
      <c r="AK56" s="143" t="s">
        <v>332</v>
      </c>
      <c r="AL56" s="144" t="s">
        <v>332</v>
      </c>
      <c r="AM56" s="143" t="s">
        <v>332</v>
      </c>
      <c r="AN56" s="143" t="s">
        <v>332</v>
      </c>
      <c r="AO56" s="143" t="s">
        <v>332</v>
      </c>
      <c r="AP56" s="144" t="s">
        <v>332</v>
      </c>
      <c r="AQ56" s="142" t="s">
        <v>332</v>
      </c>
      <c r="AR56" s="143" t="s">
        <v>332</v>
      </c>
      <c r="AS56" s="143" t="s">
        <v>332</v>
      </c>
      <c r="AT56" s="143" t="s">
        <v>332</v>
      </c>
      <c r="AU56" s="142" t="s">
        <v>332</v>
      </c>
      <c r="AV56" s="143" t="s">
        <v>332</v>
      </c>
      <c r="AW56" s="143" t="s">
        <v>332</v>
      </c>
      <c r="AX56" s="143" t="s">
        <v>332</v>
      </c>
      <c r="AY56" s="142" t="s">
        <v>332</v>
      </c>
      <c r="AZ56" s="143" t="s">
        <v>332</v>
      </c>
      <c r="BA56" s="143" t="s">
        <v>332</v>
      </c>
      <c r="BB56" s="143" t="s">
        <v>332</v>
      </c>
      <c r="BC56" s="142" t="s">
        <v>332</v>
      </c>
      <c r="BD56" s="143" t="s">
        <v>332</v>
      </c>
      <c r="BE56" s="143" t="s">
        <v>332</v>
      </c>
      <c r="BF56" s="143" t="s">
        <v>332</v>
      </c>
    </row>
    <row r="57" spans="1:58" s="124" customFormat="1" ht="11.25">
      <c r="A57" s="149"/>
      <c r="B57" s="149"/>
      <c r="C57" s="150"/>
      <c r="D57" s="151"/>
      <c r="E57" s="151"/>
      <c r="F57" s="152"/>
      <c r="G57" s="150"/>
      <c r="H57" s="151"/>
      <c r="I57" s="151"/>
      <c r="J57" s="152"/>
      <c r="K57" s="150"/>
      <c r="L57" s="151"/>
      <c r="M57" s="151"/>
      <c r="N57" s="152"/>
      <c r="O57" s="150"/>
      <c r="P57" s="151"/>
      <c r="Q57" s="151"/>
      <c r="R57" s="152"/>
      <c r="S57" s="150"/>
      <c r="T57" s="151"/>
      <c r="U57" s="151"/>
      <c r="V57" s="152"/>
      <c r="W57" s="150"/>
      <c r="X57" s="151"/>
      <c r="Y57" s="151"/>
      <c r="Z57" s="152"/>
      <c r="AA57" s="150"/>
      <c r="AB57" s="151"/>
      <c r="AC57" s="151"/>
      <c r="AD57" s="152"/>
      <c r="AE57" s="150"/>
      <c r="AF57" s="151"/>
      <c r="AG57" s="151"/>
      <c r="AH57" s="152"/>
      <c r="AI57" s="151"/>
      <c r="AJ57" s="151"/>
      <c r="AK57" s="151"/>
      <c r="AL57" s="152"/>
      <c r="AM57" s="151"/>
      <c r="AN57" s="151"/>
      <c r="AO57" s="151"/>
      <c r="AP57" s="152"/>
      <c r="AQ57" s="150"/>
      <c r="AR57" s="151"/>
      <c r="AS57" s="151"/>
      <c r="AT57" s="151"/>
      <c r="AU57" s="150"/>
      <c r="AV57" s="151"/>
      <c r="AW57" s="151"/>
      <c r="AX57" s="151"/>
      <c r="AY57" s="150"/>
      <c r="AZ57" s="151"/>
      <c r="BA57" s="151"/>
      <c r="BB57" s="151"/>
      <c r="BC57" s="150"/>
      <c r="BD57" s="151"/>
      <c r="BE57" s="151"/>
      <c r="BF57" s="151"/>
    </row>
    <row r="58" spans="1:58" s="157" customFormat="1" ht="11.25">
      <c r="A58" s="153" t="s">
        <v>423</v>
      </c>
      <c r="B58" s="153" t="s">
        <v>418</v>
      </c>
      <c r="C58" s="154">
        <f>C61</f>
        <v>0.13450000000000001</v>
      </c>
      <c r="D58" s="155">
        <f t="shared" ref="D58:U58" si="34">D61</f>
        <v>0.13370000000000001</v>
      </c>
      <c r="E58" s="155">
        <f t="shared" si="34"/>
        <v>0.1246</v>
      </c>
      <c r="F58" s="156">
        <f t="shared" si="34"/>
        <v>0.12709999999999999</v>
      </c>
      <c r="G58" s="154">
        <f t="shared" si="34"/>
        <v>0.10920000000000001</v>
      </c>
      <c r="H58" s="155">
        <f t="shared" si="34"/>
        <v>0.11020000000000001</v>
      </c>
      <c r="I58" s="155">
        <f t="shared" si="34"/>
        <v>0.1162</v>
      </c>
      <c r="J58" s="156">
        <f t="shared" si="34"/>
        <v>0.1017</v>
      </c>
      <c r="K58" s="154">
        <f t="shared" si="34"/>
        <v>0.10100000000000001</v>
      </c>
      <c r="L58" s="155">
        <f t="shared" si="34"/>
        <v>0.1069</v>
      </c>
      <c r="M58" s="155">
        <f t="shared" si="34"/>
        <v>0.1191</v>
      </c>
      <c r="N58" s="156">
        <f t="shared" si="34"/>
        <v>0.1182</v>
      </c>
      <c r="O58" s="154">
        <f t="shared" si="34"/>
        <v>0.12839999999999999</v>
      </c>
      <c r="P58" s="155">
        <f t="shared" si="34"/>
        <v>0.1245</v>
      </c>
      <c r="Q58" s="155">
        <f t="shared" si="34"/>
        <v>0.1318</v>
      </c>
      <c r="R58" s="156">
        <f t="shared" si="34"/>
        <v>0.1308</v>
      </c>
      <c r="S58" s="154">
        <f t="shared" si="34"/>
        <v>0.1258</v>
      </c>
      <c r="T58" s="155">
        <f t="shared" si="34"/>
        <v>0.124</v>
      </c>
      <c r="U58" s="155">
        <f t="shared" si="34"/>
        <v>0.12470000000000001</v>
      </c>
      <c r="V58" s="156">
        <f t="shared" ref="V58:AA58" si="35">ROUND(V30/(V51*12.5),4)</f>
        <v>0.11849999999999999</v>
      </c>
      <c r="W58" s="154">
        <f t="shared" si="35"/>
        <v>0.1202</v>
      </c>
      <c r="X58" s="155">
        <f t="shared" si="35"/>
        <v>0.12820000000000001</v>
      </c>
      <c r="Y58" s="155">
        <f t="shared" si="35"/>
        <v>0.13170000000000001</v>
      </c>
      <c r="Z58" s="156">
        <f t="shared" si="35"/>
        <v>0.13389999999999999</v>
      </c>
      <c r="AA58" s="154">
        <f t="shared" si="35"/>
        <v>0.14360000000000001</v>
      </c>
      <c r="AB58" s="155">
        <f t="shared" ref="AB58:AI58" si="36">AB59</f>
        <v>0.15240000000000001</v>
      </c>
      <c r="AC58" s="155">
        <f t="shared" si="36"/>
        <v>0.1699</v>
      </c>
      <c r="AD58" s="156">
        <f t="shared" si="36"/>
        <v>0.1666</v>
      </c>
      <c r="AE58" s="154">
        <f t="shared" si="36"/>
        <v>0.1457</v>
      </c>
      <c r="AF58" s="155">
        <f t="shared" si="36"/>
        <v>0.15040000000000001</v>
      </c>
      <c r="AG58" s="155">
        <f t="shared" si="36"/>
        <v>0.14180000000000001</v>
      </c>
      <c r="AH58" s="156">
        <f t="shared" si="36"/>
        <v>0.14169999999999999</v>
      </c>
      <c r="AI58" s="155">
        <f t="shared" si="36"/>
        <v>0.14810000000000001</v>
      </c>
      <c r="AJ58" s="155">
        <f t="shared" ref="AJ58:BF58" si="37">AJ59</f>
        <v>0.13700000000000001</v>
      </c>
      <c r="AK58" s="155">
        <f t="shared" si="37"/>
        <v>0.1366</v>
      </c>
      <c r="AL58" s="156">
        <f t="shared" si="37"/>
        <v>0.13739999999999999</v>
      </c>
      <c r="AM58" s="155">
        <f t="shared" si="37"/>
        <v>0.1411</v>
      </c>
      <c r="AN58" s="155">
        <f t="shared" si="37"/>
        <v>0.13539999999999999</v>
      </c>
      <c r="AO58" s="155">
        <f t="shared" si="37"/>
        <v>0.13800000000000001</v>
      </c>
      <c r="AP58" s="156">
        <f t="shared" si="37"/>
        <v>0.13700000000000001</v>
      </c>
      <c r="AQ58" s="154">
        <f t="shared" si="37"/>
        <v>0.1333</v>
      </c>
      <c r="AR58" s="155">
        <f t="shared" si="37"/>
        <v>0.14349999999999999</v>
      </c>
      <c r="AS58" s="155">
        <f t="shared" si="37"/>
        <v>0.14119999999999999</v>
      </c>
      <c r="AT58" s="155">
        <f t="shared" si="37"/>
        <v>0.15770000000000001</v>
      </c>
      <c r="AU58" s="154">
        <f t="shared" si="37"/>
        <v>0.1512</v>
      </c>
      <c r="AV58" s="155">
        <f t="shared" si="37"/>
        <v>0.14349999999999999</v>
      </c>
      <c r="AW58" s="155">
        <f t="shared" si="37"/>
        <v>0.14410000000000001</v>
      </c>
      <c r="AX58" s="155">
        <f t="shared" si="37"/>
        <v>0.1474</v>
      </c>
      <c r="AY58" s="154">
        <f t="shared" si="37"/>
        <v>0.1449</v>
      </c>
      <c r="AZ58" s="155">
        <f t="shared" si="37"/>
        <v>0.13780000000000001</v>
      </c>
      <c r="BA58" s="155">
        <f t="shared" si="37"/>
        <v>0.1419</v>
      </c>
      <c r="BB58" s="155">
        <f t="shared" si="37"/>
        <v>0.14410000000000001</v>
      </c>
      <c r="BC58" s="154">
        <f t="shared" si="37"/>
        <v>0.13250000000000001</v>
      </c>
      <c r="BD58" s="155">
        <f t="shared" si="37"/>
        <v>0.1578</v>
      </c>
      <c r="BE58" s="155">
        <f t="shared" si="37"/>
        <v>0.16039999999999999</v>
      </c>
      <c r="BF58" s="155">
        <f t="shared" si="37"/>
        <v>0.16089999999999999</v>
      </c>
    </row>
    <row r="59" spans="1:58" s="145" customFormat="1" ht="11.25">
      <c r="A59" s="158" t="s">
        <v>570</v>
      </c>
      <c r="B59" s="158" t="s">
        <v>574</v>
      </c>
      <c r="C59" s="146" t="s">
        <v>332</v>
      </c>
      <c r="D59" s="147" t="s">
        <v>332</v>
      </c>
      <c r="E59" s="147" t="s">
        <v>332</v>
      </c>
      <c r="F59" s="148" t="s">
        <v>332</v>
      </c>
      <c r="G59" s="146" t="s">
        <v>332</v>
      </c>
      <c r="H59" s="147" t="s">
        <v>332</v>
      </c>
      <c r="I59" s="147" t="s">
        <v>332</v>
      </c>
      <c r="J59" s="148" t="s">
        <v>332</v>
      </c>
      <c r="K59" s="146" t="s">
        <v>332</v>
      </c>
      <c r="L59" s="147" t="s">
        <v>332</v>
      </c>
      <c r="M59" s="147" t="s">
        <v>332</v>
      </c>
      <c r="N59" s="148" t="s">
        <v>332</v>
      </c>
      <c r="O59" s="146" t="s">
        <v>332</v>
      </c>
      <c r="P59" s="147" t="s">
        <v>332</v>
      </c>
      <c r="Q59" s="147" t="s">
        <v>332</v>
      </c>
      <c r="R59" s="148" t="s">
        <v>332</v>
      </c>
      <c r="S59" s="146" t="s">
        <v>332</v>
      </c>
      <c r="T59" s="147" t="s">
        <v>332</v>
      </c>
      <c r="U59" s="147" t="s">
        <v>332</v>
      </c>
      <c r="V59" s="148">
        <f t="shared" ref="V59:BE59" si="38">ROUND(V30/(V49*12.5),4)</f>
        <v>0.1305</v>
      </c>
      <c r="W59" s="146">
        <f t="shared" si="38"/>
        <v>0.1298</v>
      </c>
      <c r="X59" s="147">
        <f t="shared" si="38"/>
        <v>0.1331</v>
      </c>
      <c r="Y59" s="147">
        <f t="shared" si="38"/>
        <v>0.14599999999999999</v>
      </c>
      <c r="Z59" s="148">
        <f t="shared" si="38"/>
        <v>0.152</v>
      </c>
      <c r="AA59" s="146">
        <f t="shared" si="38"/>
        <v>0.16470000000000001</v>
      </c>
      <c r="AB59" s="147">
        <f t="shared" si="38"/>
        <v>0.15240000000000001</v>
      </c>
      <c r="AC59" s="147">
        <f t="shared" si="38"/>
        <v>0.1699</v>
      </c>
      <c r="AD59" s="148">
        <f t="shared" si="38"/>
        <v>0.1666</v>
      </c>
      <c r="AE59" s="146">
        <f t="shared" si="38"/>
        <v>0.1457</v>
      </c>
      <c r="AF59" s="147">
        <f t="shared" si="38"/>
        <v>0.15040000000000001</v>
      </c>
      <c r="AG59" s="147">
        <f t="shared" si="38"/>
        <v>0.14180000000000001</v>
      </c>
      <c r="AH59" s="148">
        <f t="shared" si="38"/>
        <v>0.14169999999999999</v>
      </c>
      <c r="AI59" s="147">
        <f t="shared" si="38"/>
        <v>0.14810000000000001</v>
      </c>
      <c r="AJ59" s="147">
        <f t="shared" si="38"/>
        <v>0.13700000000000001</v>
      </c>
      <c r="AK59" s="147">
        <f t="shared" si="38"/>
        <v>0.1366</v>
      </c>
      <c r="AL59" s="148">
        <f t="shared" si="38"/>
        <v>0.13739999999999999</v>
      </c>
      <c r="AM59" s="147">
        <f t="shared" si="38"/>
        <v>0.1411</v>
      </c>
      <c r="AN59" s="147">
        <f t="shared" si="38"/>
        <v>0.13539999999999999</v>
      </c>
      <c r="AO59" s="147">
        <f t="shared" si="38"/>
        <v>0.13800000000000001</v>
      </c>
      <c r="AP59" s="148">
        <f t="shared" si="38"/>
        <v>0.13700000000000001</v>
      </c>
      <c r="AQ59" s="146">
        <f t="shared" si="38"/>
        <v>0.1333</v>
      </c>
      <c r="AR59" s="147">
        <f t="shared" si="38"/>
        <v>0.14349999999999999</v>
      </c>
      <c r="AS59" s="147">
        <f t="shared" si="38"/>
        <v>0.14119999999999999</v>
      </c>
      <c r="AT59" s="147">
        <f t="shared" si="38"/>
        <v>0.15770000000000001</v>
      </c>
      <c r="AU59" s="146">
        <f t="shared" si="38"/>
        <v>0.1512</v>
      </c>
      <c r="AV59" s="147">
        <f t="shared" si="38"/>
        <v>0.14349999999999999</v>
      </c>
      <c r="AW59" s="147">
        <f t="shared" si="38"/>
        <v>0.14410000000000001</v>
      </c>
      <c r="AX59" s="147">
        <f t="shared" si="38"/>
        <v>0.1474</v>
      </c>
      <c r="AY59" s="146">
        <f t="shared" si="38"/>
        <v>0.1449</v>
      </c>
      <c r="AZ59" s="147">
        <f t="shared" si="38"/>
        <v>0.13780000000000001</v>
      </c>
      <c r="BA59" s="147">
        <f t="shared" si="38"/>
        <v>0.1419</v>
      </c>
      <c r="BB59" s="147">
        <f t="shared" si="38"/>
        <v>0.14410000000000001</v>
      </c>
      <c r="BC59" s="146">
        <f t="shared" si="38"/>
        <v>0.13250000000000001</v>
      </c>
      <c r="BD59" s="147">
        <f t="shared" si="38"/>
        <v>0.1578</v>
      </c>
      <c r="BE59" s="147">
        <f t="shared" si="38"/>
        <v>0.16039999999999999</v>
      </c>
      <c r="BF59" s="147">
        <f t="shared" ref="BF59" si="39">ROUND(BF30/(BF49*12.5),4)</f>
        <v>0.16089999999999999</v>
      </c>
    </row>
    <row r="60" spans="1:58" s="145" customFormat="1" ht="11.25">
      <c r="A60" s="158" t="s">
        <v>571</v>
      </c>
      <c r="B60" s="158" t="s">
        <v>572</v>
      </c>
      <c r="C60" s="146" t="s">
        <v>332</v>
      </c>
      <c r="D60" s="147" t="s">
        <v>332</v>
      </c>
      <c r="E60" s="147" t="s">
        <v>332</v>
      </c>
      <c r="F60" s="148" t="s">
        <v>332</v>
      </c>
      <c r="G60" s="146" t="s">
        <v>332</v>
      </c>
      <c r="H60" s="147" t="s">
        <v>332</v>
      </c>
      <c r="I60" s="147" t="s">
        <v>332</v>
      </c>
      <c r="J60" s="148" t="s">
        <v>332</v>
      </c>
      <c r="K60" s="146" t="s">
        <v>332</v>
      </c>
      <c r="L60" s="147" t="s">
        <v>332</v>
      </c>
      <c r="M60" s="147" t="s">
        <v>332</v>
      </c>
      <c r="N60" s="148" t="s">
        <v>332</v>
      </c>
      <c r="O60" s="146" t="s">
        <v>332</v>
      </c>
      <c r="P60" s="147" t="s">
        <v>332</v>
      </c>
      <c r="Q60" s="147" t="s">
        <v>332</v>
      </c>
      <c r="R60" s="148" t="s">
        <v>332</v>
      </c>
      <c r="S60" s="146" t="s">
        <v>332</v>
      </c>
      <c r="T60" s="147" t="s">
        <v>332</v>
      </c>
      <c r="U60" s="147" t="s">
        <v>332</v>
      </c>
      <c r="V60" s="148" t="s">
        <v>332</v>
      </c>
      <c r="W60" s="146" t="s">
        <v>332</v>
      </c>
      <c r="X60" s="147" t="s">
        <v>332</v>
      </c>
      <c r="Y60" s="147" t="s">
        <v>332</v>
      </c>
      <c r="Z60" s="148" t="s">
        <v>332</v>
      </c>
      <c r="AA60" s="146" t="s">
        <v>332</v>
      </c>
      <c r="AB60" s="147" t="s">
        <v>332</v>
      </c>
      <c r="AC60" s="147" t="s">
        <v>332</v>
      </c>
      <c r="AD60" s="148" t="s">
        <v>332</v>
      </c>
      <c r="AE60" s="146" t="s">
        <v>332</v>
      </c>
      <c r="AF60" s="147" t="s">
        <v>332</v>
      </c>
      <c r="AG60" s="147" t="s">
        <v>332</v>
      </c>
      <c r="AH60" s="148" t="s">
        <v>332</v>
      </c>
      <c r="AI60" s="147" t="s">
        <v>332</v>
      </c>
      <c r="AJ60" s="147" t="s">
        <v>332</v>
      </c>
      <c r="AK60" s="147" t="s">
        <v>332</v>
      </c>
      <c r="AL60" s="148" t="s">
        <v>332</v>
      </c>
      <c r="AM60" s="147" t="s">
        <v>332</v>
      </c>
      <c r="AN60" s="147" t="s">
        <v>332</v>
      </c>
      <c r="AO60" s="147" t="s">
        <v>332</v>
      </c>
      <c r="AP60" s="148" t="s">
        <v>332</v>
      </c>
      <c r="AQ60" s="146" t="s">
        <v>332</v>
      </c>
      <c r="AR60" s="147" t="s">
        <v>332</v>
      </c>
      <c r="AS60" s="147" t="s">
        <v>332</v>
      </c>
      <c r="AT60" s="147" t="s">
        <v>332</v>
      </c>
      <c r="AU60" s="147">
        <v>0.14796091681125012</v>
      </c>
      <c r="AV60" s="147">
        <v>0.14042385545442196</v>
      </c>
      <c r="AW60" s="147">
        <v>0.14144762028355448</v>
      </c>
      <c r="AX60" s="147">
        <v>0.14481343923455742</v>
      </c>
      <c r="AY60" s="147">
        <v>0.14236365055820127</v>
      </c>
      <c r="AZ60" s="147">
        <v>0.1347918990314059</v>
      </c>
      <c r="BA60" s="147">
        <v>0.13909682668836454</v>
      </c>
      <c r="BB60" s="147">
        <v>0.1417524967433782</v>
      </c>
      <c r="BC60" s="147">
        <v>0.13067991358313494</v>
      </c>
      <c r="BD60" s="147">
        <v>0.1537</v>
      </c>
      <c r="BE60" s="147">
        <v>0.15620000000000001</v>
      </c>
      <c r="BF60" s="147">
        <v>0.15690000000000001</v>
      </c>
    </row>
    <row r="61" spans="1:58" s="145" customFormat="1" ht="11.25">
      <c r="A61" s="159" t="s">
        <v>385</v>
      </c>
      <c r="B61" s="158" t="s">
        <v>419</v>
      </c>
      <c r="C61" s="146">
        <f t="shared" ref="C61:AA61" si="40">ROUND(C35/(C51*12.5),4)</f>
        <v>0.13450000000000001</v>
      </c>
      <c r="D61" s="147">
        <f t="shared" si="40"/>
        <v>0.13370000000000001</v>
      </c>
      <c r="E61" s="147">
        <f t="shared" si="40"/>
        <v>0.1246</v>
      </c>
      <c r="F61" s="148">
        <f t="shared" si="40"/>
        <v>0.12709999999999999</v>
      </c>
      <c r="G61" s="146">
        <f t="shared" si="40"/>
        <v>0.10920000000000001</v>
      </c>
      <c r="H61" s="147">
        <f t="shared" si="40"/>
        <v>0.11020000000000001</v>
      </c>
      <c r="I61" s="147">
        <f t="shared" si="40"/>
        <v>0.1162</v>
      </c>
      <c r="J61" s="148">
        <f t="shared" si="40"/>
        <v>0.1017</v>
      </c>
      <c r="K61" s="146">
        <f t="shared" si="40"/>
        <v>0.10100000000000001</v>
      </c>
      <c r="L61" s="147">
        <f t="shared" si="40"/>
        <v>0.1069</v>
      </c>
      <c r="M61" s="147">
        <f t="shared" si="40"/>
        <v>0.1191</v>
      </c>
      <c r="N61" s="148">
        <f t="shared" si="40"/>
        <v>0.1182</v>
      </c>
      <c r="O61" s="146">
        <f t="shared" si="40"/>
        <v>0.12839999999999999</v>
      </c>
      <c r="P61" s="147">
        <f t="shared" si="40"/>
        <v>0.1245</v>
      </c>
      <c r="Q61" s="147">
        <f t="shared" si="40"/>
        <v>0.1318</v>
      </c>
      <c r="R61" s="148">
        <f t="shared" si="40"/>
        <v>0.1308</v>
      </c>
      <c r="S61" s="146">
        <f t="shared" si="40"/>
        <v>0.1258</v>
      </c>
      <c r="T61" s="147">
        <f t="shared" si="40"/>
        <v>0.124</v>
      </c>
      <c r="U61" s="147">
        <f t="shared" si="40"/>
        <v>0.12470000000000001</v>
      </c>
      <c r="V61" s="148">
        <f t="shared" si="40"/>
        <v>0.1217</v>
      </c>
      <c r="W61" s="146">
        <f t="shared" si="40"/>
        <v>0.12180000000000001</v>
      </c>
      <c r="X61" s="147">
        <f t="shared" si="40"/>
        <v>0.12970000000000001</v>
      </c>
      <c r="Y61" s="147">
        <f t="shared" si="40"/>
        <v>0.13320000000000001</v>
      </c>
      <c r="Z61" s="148">
        <f t="shared" si="40"/>
        <v>0.1353</v>
      </c>
      <c r="AA61" s="146">
        <f t="shared" si="40"/>
        <v>0.14510000000000001</v>
      </c>
      <c r="AB61" s="147" t="s">
        <v>332</v>
      </c>
      <c r="AC61" s="147" t="s">
        <v>332</v>
      </c>
      <c r="AD61" s="148" t="s">
        <v>332</v>
      </c>
      <c r="AE61" s="146" t="s">
        <v>332</v>
      </c>
      <c r="AF61" s="147" t="s">
        <v>332</v>
      </c>
      <c r="AG61" s="147" t="s">
        <v>332</v>
      </c>
      <c r="AH61" s="148" t="s">
        <v>332</v>
      </c>
      <c r="AI61" s="147" t="s">
        <v>332</v>
      </c>
      <c r="AJ61" s="147" t="s">
        <v>332</v>
      </c>
      <c r="AK61" s="147" t="s">
        <v>332</v>
      </c>
      <c r="AL61" s="148" t="s">
        <v>332</v>
      </c>
      <c r="AM61" s="147" t="s">
        <v>332</v>
      </c>
      <c r="AN61" s="147" t="s">
        <v>332</v>
      </c>
      <c r="AO61" s="147" t="s">
        <v>332</v>
      </c>
      <c r="AP61" s="148" t="s">
        <v>332</v>
      </c>
      <c r="AQ61" s="146" t="s">
        <v>332</v>
      </c>
      <c r="AR61" s="147" t="s">
        <v>332</v>
      </c>
      <c r="AS61" s="147" t="s">
        <v>332</v>
      </c>
      <c r="AT61" s="147" t="s">
        <v>332</v>
      </c>
      <c r="AU61" s="146" t="s">
        <v>332</v>
      </c>
      <c r="AV61" s="147" t="s">
        <v>332</v>
      </c>
      <c r="AW61" s="147" t="s">
        <v>332</v>
      </c>
      <c r="AX61" s="147" t="s">
        <v>332</v>
      </c>
      <c r="AY61" s="146" t="s">
        <v>332</v>
      </c>
      <c r="AZ61" s="147" t="s">
        <v>332</v>
      </c>
      <c r="BA61" s="147" t="s">
        <v>332</v>
      </c>
      <c r="BB61" s="147" t="s">
        <v>332</v>
      </c>
      <c r="BC61" s="146" t="s">
        <v>332</v>
      </c>
      <c r="BD61" s="147" t="s">
        <v>332</v>
      </c>
      <c r="BE61" s="147" t="s">
        <v>332</v>
      </c>
      <c r="BF61" s="147" t="s">
        <v>332</v>
      </c>
    </row>
    <row r="62" spans="1:58">
      <c r="C62" s="343"/>
      <c r="D62" s="344"/>
      <c r="E62" s="344"/>
      <c r="F62" s="344"/>
      <c r="G62" s="343"/>
      <c r="H62" s="344"/>
      <c r="I62" s="344"/>
      <c r="J62" s="344"/>
      <c r="K62" s="343"/>
      <c r="L62" s="344"/>
      <c r="M62" s="344"/>
      <c r="N62" s="344"/>
      <c r="O62" s="343"/>
      <c r="P62" s="344"/>
      <c r="Q62" s="344"/>
      <c r="R62" s="344"/>
      <c r="S62" s="343"/>
      <c r="T62" s="344"/>
      <c r="U62" s="344"/>
      <c r="V62" s="344"/>
      <c r="W62" s="343"/>
      <c r="X62" s="344"/>
      <c r="Y62" s="344"/>
      <c r="Z62" s="344"/>
      <c r="AA62" s="343"/>
      <c r="AB62" s="344"/>
      <c r="AC62" s="344"/>
      <c r="AD62" s="344"/>
      <c r="AE62" s="343"/>
      <c r="AF62" s="344"/>
      <c r="AG62" s="344"/>
      <c r="AH62" s="344"/>
      <c r="AI62" s="343"/>
      <c r="AJ62" s="344"/>
      <c r="AK62" s="344"/>
      <c r="AL62" s="344"/>
      <c r="AM62" s="343"/>
      <c r="AN62" s="344"/>
      <c r="AO62" s="344"/>
      <c r="AP62" s="344"/>
      <c r="AQ62" s="343"/>
      <c r="AR62" s="344"/>
      <c r="AS62" s="344"/>
      <c r="AT62" s="344"/>
      <c r="AU62" s="343"/>
      <c r="AV62" s="344"/>
      <c r="AW62" s="344"/>
      <c r="AX62" s="344"/>
      <c r="AY62" s="343"/>
      <c r="AZ62" s="344"/>
      <c r="BA62" s="344"/>
      <c r="BB62" s="344"/>
      <c r="BC62" s="343"/>
      <c r="BD62" s="344"/>
      <c r="BE62" s="344"/>
      <c r="BF62" s="344"/>
    </row>
    <row r="63" spans="1:58" s="635" customFormat="1">
      <c r="A63" s="532" t="s">
        <v>863</v>
      </c>
      <c r="B63" s="618" t="s">
        <v>863</v>
      </c>
      <c r="C63" s="463"/>
      <c r="D63" s="328"/>
      <c r="E63" s="328"/>
      <c r="F63" s="328"/>
      <c r="G63" s="463"/>
      <c r="H63" s="328"/>
      <c r="I63" s="328"/>
      <c r="J63" s="328"/>
      <c r="K63" s="463"/>
      <c r="L63" s="328"/>
      <c r="M63" s="328"/>
      <c r="N63" s="328"/>
      <c r="O63" s="463"/>
      <c r="P63" s="328"/>
      <c r="Q63" s="328"/>
      <c r="R63" s="328"/>
      <c r="S63" s="463"/>
      <c r="T63" s="328"/>
      <c r="U63" s="328"/>
      <c r="V63" s="328"/>
      <c r="W63" s="463"/>
      <c r="X63" s="328"/>
      <c r="Y63" s="328"/>
      <c r="Z63" s="328"/>
      <c r="AA63" s="463"/>
      <c r="AB63" s="328"/>
      <c r="AC63" s="328"/>
      <c r="AD63" s="328"/>
      <c r="AE63" s="463"/>
      <c r="AF63" s="328"/>
      <c r="AG63" s="328"/>
      <c r="AH63" s="328"/>
      <c r="AI63" s="463"/>
      <c r="AJ63" s="328"/>
      <c r="AK63" s="328"/>
      <c r="AL63" s="328"/>
      <c r="AM63" s="463"/>
      <c r="AN63" s="328"/>
      <c r="AO63" s="328"/>
      <c r="AP63" s="328"/>
      <c r="AQ63" s="463"/>
      <c r="AR63" s="328"/>
      <c r="AS63" s="328"/>
      <c r="AT63" s="328"/>
      <c r="AU63" s="463">
        <v>0.06</v>
      </c>
      <c r="AV63" s="328">
        <v>0.06</v>
      </c>
      <c r="AW63" s="328">
        <v>0.06</v>
      </c>
      <c r="AX63" s="328">
        <v>0.06</v>
      </c>
      <c r="AY63" s="463">
        <v>0.06</v>
      </c>
      <c r="AZ63" s="328">
        <v>0.06</v>
      </c>
      <c r="BA63" s="328">
        <v>0.06</v>
      </c>
      <c r="BB63" s="328">
        <v>0.06</v>
      </c>
      <c r="BC63" s="463">
        <v>0.06</v>
      </c>
      <c r="BD63" s="328">
        <v>0.06</v>
      </c>
      <c r="BE63" s="328">
        <v>0.06</v>
      </c>
      <c r="BF63" s="328">
        <v>0.06</v>
      </c>
    </row>
    <row r="64" spans="1:58" s="635" customFormat="1">
      <c r="A64" s="532" t="s">
        <v>864</v>
      </c>
      <c r="B64" s="618" t="s">
        <v>879</v>
      </c>
      <c r="C64" s="463"/>
      <c r="D64" s="328"/>
      <c r="E64" s="328"/>
      <c r="F64" s="328"/>
      <c r="G64" s="463"/>
      <c r="H64" s="328"/>
      <c r="I64" s="328"/>
      <c r="J64" s="328"/>
      <c r="K64" s="463"/>
      <c r="L64" s="328"/>
      <c r="M64" s="328"/>
      <c r="N64" s="328"/>
      <c r="O64" s="463"/>
      <c r="P64" s="328"/>
      <c r="Q64" s="328"/>
      <c r="R64" s="328"/>
      <c r="S64" s="463"/>
      <c r="T64" s="328"/>
      <c r="U64" s="328"/>
      <c r="V64" s="328"/>
      <c r="W64" s="463"/>
      <c r="X64" s="328"/>
      <c r="Y64" s="328"/>
      <c r="Z64" s="328"/>
      <c r="AA64" s="463"/>
      <c r="AB64" s="328"/>
      <c r="AC64" s="328"/>
      <c r="AD64" s="328"/>
      <c r="AE64" s="463"/>
      <c r="AF64" s="328"/>
      <c r="AG64" s="328"/>
      <c r="AH64" s="328"/>
      <c r="AI64" s="463"/>
      <c r="AJ64" s="328"/>
      <c r="AK64" s="328"/>
      <c r="AL64" s="328"/>
      <c r="AM64" s="463"/>
      <c r="AN64" s="328"/>
      <c r="AO64" s="328"/>
      <c r="AP64" s="328"/>
      <c r="AQ64" s="463"/>
      <c r="AR64" s="328"/>
      <c r="AS64" s="328"/>
      <c r="AT64" s="328"/>
      <c r="AU64" s="463">
        <v>0.08</v>
      </c>
      <c r="AV64" s="328">
        <v>0.08</v>
      </c>
      <c r="AW64" s="328">
        <v>0.08</v>
      </c>
      <c r="AX64" s="328">
        <v>0.08</v>
      </c>
      <c r="AY64" s="463">
        <v>0.08</v>
      </c>
      <c r="AZ64" s="328">
        <v>0.08</v>
      </c>
      <c r="BA64" s="328">
        <v>0.08</v>
      </c>
      <c r="BB64" s="328">
        <v>0.08</v>
      </c>
      <c r="BC64" s="463">
        <v>0.08</v>
      </c>
      <c r="BD64" s="328">
        <v>0.08</v>
      </c>
      <c r="BE64" s="328">
        <v>0.08</v>
      </c>
      <c r="BF64" s="328">
        <v>0.08</v>
      </c>
    </row>
    <row r="65" spans="1:58" s="635" customFormat="1">
      <c r="A65" s="532" t="s">
        <v>866</v>
      </c>
      <c r="B65" s="618" t="s">
        <v>871</v>
      </c>
      <c r="C65" s="463"/>
      <c r="D65" s="328"/>
      <c r="E65" s="328"/>
      <c r="F65" s="328"/>
      <c r="G65" s="463"/>
      <c r="H65" s="328"/>
      <c r="I65" s="328"/>
      <c r="J65" s="328"/>
      <c r="K65" s="463"/>
      <c r="L65" s="328"/>
      <c r="M65" s="328"/>
      <c r="N65" s="328"/>
      <c r="O65" s="463"/>
      <c r="P65" s="328"/>
      <c r="Q65" s="328"/>
      <c r="R65" s="328"/>
      <c r="S65" s="463"/>
      <c r="T65" s="328"/>
      <c r="U65" s="328"/>
      <c r="V65" s="328"/>
      <c r="W65" s="463"/>
      <c r="X65" s="328"/>
      <c r="Y65" s="328"/>
      <c r="Z65" s="328"/>
      <c r="AA65" s="463"/>
      <c r="AB65" s="328"/>
      <c r="AC65" s="328"/>
      <c r="AD65" s="328"/>
      <c r="AE65" s="463"/>
      <c r="AF65" s="328"/>
      <c r="AG65" s="328"/>
      <c r="AH65" s="328"/>
      <c r="AI65" s="463"/>
      <c r="AJ65" s="328"/>
      <c r="AK65" s="328"/>
      <c r="AL65" s="328"/>
      <c r="AM65" s="463"/>
      <c r="AN65" s="328"/>
      <c r="AO65" s="328"/>
      <c r="AP65" s="328"/>
      <c r="AQ65" s="463"/>
      <c r="AR65" s="328"/>
      <c r="AS65" s="328"/>
      <c r="AT65" s="328"/>
      <c r="AU65" s="463">
        <v>1.9E-2</v>
      </c>
      <c r="AV65" s="328">
        <v>1.9E-2</v>
      </c>
      <c r="AW65" s="328">
        <v>1.9E-2</v>
      </c>
      <c r="AX65" s="328">
        <v>1.9E-2</v>
      </c>
      <c r="AY65" s="463">
        <v>2.5000000000000001E-2</v>
      </c>
      <c r="AZ65" s="328">
        <v>2.5000000000000001E-2</v>
      </c>
      <c r="BA65" s="328">
        <v>2.5000000000000001E-2</v>
      </c>
      <c r="BB65" s="328">
        <v>2.5000000000000001E-2</v>
      </c>
      <c r="BC65" s="463">
        <v>2.5000000000000001E-2</v>
      </c>
      <c r="BD65" s="328">
        <v>2.5000000000000001E-2</v>
      </c>
      <c r="BE65" s="328">
        <v>2.5000000000000001E-2</v>
      </c>
      <c r="BF65" s="328">
        <v>2.5000000000000001E-2</v>
      </c>
    </row>
    <row r="66" spans="1:58" s="635" customFormat="1">
      <c r="A66" s="532" t="s">
        <v>873</v>
      </c>
      <c r="B66" s="618" t="s">
        <v>872</v>
      </c>
      <c r="C66" s="463"/>
      <c r="D66" s="328"/>
      <c r="E66" s="328"/>
      <c r="F66" s="328"/>
      <c r="G66" s="463"/>
      <c r="H66" s="328"/>
      <c r="I66" s="328"/>
      <c r="J66" s="328"/>
      <c r="K66" s="463"/>
      <c r="L66" s="328"/>
      <c r="M66" s="328"/>
      <c r="N66" s="328"/>
      <c r="O66" s="463"/>
      <c r="P66" s="328"/>
      <c r="Q66" s="328"/>
      <c r="R66" s="328"/>
      <c r="S66" s="463"/>
      <c r="T66" s="328"/>
      <c r="U66" s="328"/>
      <c r="V66" s="328"/>
      <c r="W66" s="463"/>
      <c r="X66" s="328"/>
      <c r="Y66" s="328"/>
      <c r="Z66" s="328"/>
      <c r="AA66" s="463"/>
      <c r="AB66" s="328"/>
      <c r="AC66" s="328"/>
      <c r="AD66" s="328"/>
      <c r="AE66" s="463"/>
      <c r="AF66" s="328"/>
      <c r="AG66" s="328"/>
      <c r="AH66" s="328"/>
      <c r="AI66" s="463"/>
      <c r="AJ66" s="328"/>
      <c r="AK66" s="328"/>
      <c r="AL66" s="328"/>
      <c r="AM66" s="463"/>
      <c r="AN66" s="328"/>
      <c r="AO66" s="328"/>
      <c r="AP66" s="328"/>
      <c r="AQ66" s="463"/>
      <c r="AR66" s="328"/>
      <c r="AS66" s="328"/>
      <c r="AT66" s="328"/>
      <c r="AU66" s="463">
        <v>5.0000000000000001E-3</v>
      </c>
      <c r="AV66" s="328">
        <v>5.0000000000000001E-3</v>
      </c>
      <c r="AW66" s="328">
        <v>5.0000000000000001E-3</v>
      </c>
      <c r="AX66" s="328">
        <v>5.0000000000000001E-3</v>
      </c>
      <c r="AY66" s="463">
        <v>5.0000000000000001E-3</v>
      </c>
      <c r="AZ66" s="328">
        <v>5.0000000000000001E-3</v>
      </c>
      <c r="BA66" s="328">
        <v>5.0000000000000001E-3</v>
      </c>
      <c r="BB66" s="328">
        <v>5.0000000000000001E-3</v>
      </c>
      <c r="BC66" s="463">
        <v>5.0000000000000001E-3</v>
      </c>
      <c r="BD66" s="328">
        <v>5.0000000000000001E-3</v>
      </c>
      <c r="BE66" s="328">
        <v>5.0000000000000001E-3</v>
      </c>
      <c r="BF66" s="328">
        <v>5.0000000000000001E-3</v>
      </c>
    </row>
    <row r="67" spans="1:58" s="635" customFormat="1">
      <c r="A67" s="532" t="s">
        <v>870</v>
      </c>
      <c r="B67" s="618" t="s">
        <v>874</v>
      </c>
      <c r="C67" s="463"/>
      <c r="D67" s="328"/>
      <c r="E67" s="328"/>
      <c r="F67" s="328"/>
      <c r="G67" s="463"/>
      <c r="H67" s="328"/>
      <c r="I67" s="328"/>
      <c r="J67" s="328"/>
      <c r="K67" s="463"/>
      <c r="L67" s="328"/>
      <c r="M67" s="328"/>
      <c r="N67" s="328"/>
      <c r="O67" s="463"/>
      <c r="P67" s="328"/>
      <c r="Q67" s="328"/>
      <c r="R67" s="328"/>
      <c r="S67" s="463"/>
      <c r="T67" s="328"/>
      <c r="U67" s="328"/>
      <c r="V67" s="328"/>
      <c r="W67" s="463"/>
      <c r="X67" s="328"/>
      <c r="Y67" s="328"/>
      <c r="Z67" s="328"/>
      <c r="AA67" s="463"/>
      <c r="AB67" s="328"/>
      <c r="AC67" s="328"/>
      <c r="AD67" s="328"/>
      <c r="AE67" s="463"/>
      <c r="AF67" s="328"/>
      <c r="AG67" s="328"/>
      <c r="AH67" s="328"/>
      <c r="AI67" s="463"/>
      <c r="AJ67" s="328"/>
      <c r="AK67" s="328"/>
      <c r="AL67" s="328"/>
      <c r="AM67" s="463"/>
      <c r="AN67" s="328"/>
      <c r="AO67" s="328"/>
      <c r="AP67" s="328"/>
      <c r="AQ67" s="463"/>
      <c r="AR67" s="328"/>
      <c r="AS67" s="328"/>
      <c r="AT67" s="328"/>
      <c r="AU67" s="463">
        <v>0</v>
      </c>
      <c r="AV67" s="328">
        <v>0</v>
      </c>
      <c r="AW67" s="328">
        <v>0</v>
      </c>
      <c r="AX67" s="328">
        <v>0</v>
      </c>
      <c r="AY67" s="463">
        <v>0</v>
      </c>
      <c r="AZ67" s="328">
        <v>0</v>
      </c>
      <c r="BA67" s="328">
        <v>0</v>
      </c>
      <c r="BB67" s="328">
        <v>0</v>
      </c>
      <c r="BC67" s="463">
        <v>0</v>
      </c>
      <c r="BD67" s="328">
        <v>0</v>
      </c>
      <c r="BE67" s="328">
        <v>0</v>
      </c>
      <c r="BF67" s="328">
        <v>0</v>
      </c>
    </row>
    <row r="68" spans="1:58" s="635" customFormat="1">
      <c r="A68" s="532" t="s">
        <v>865</v>
      </c>
      <c r="B68" s="618" t="s">
        <v>875</v>
      </c>
      <c r="C68" s="633"/>
      <c r="D68" s="634"/>
      <c r="E68" s="634"/>
      <c r="F68" s="634"/>
      <c r="G68" s="633"/>
      <c r="H68" s="634"/>
      <c r="I68" s="634"/>
      <c r="J68" s="634"/>
      <c r="K68" s="633"/>
      <c r="L68" s="634"/>
      <c r="M68" s="634"/>
      <c r="N68" s="634"/>
      <c r="O68" s="633"/>
      <c r="P68" s="634"/>
      <c r="Q68" s="634"/>
      <c r="R68" s="634"/>
      <c r="S68" s="633"/>
      <c r="T68" s="634"/>
      <c r="U68" s="634"/>
      <c r="V68" s="634"/>
      <c r="W68" s="633"/>
      <c r="X68" s="634"/>
      <c r="Y68" s="634"/>
      <c r="Z68" s="634"/>
      <c r="AA68" s="633"/>
      <c r="AB68" s="634"/>
      <c r="AC68" s="634"/>
      <c r="AD68" s="634"/>
      <c r="AE68" s="633"/>
      <c r="AF68" s="634"/>
      <c r="AG68" s="634"/>
      <c r="AH68" s="634"/>
      <c r="AI68" s="633"/>
      <c r="AJ68" s="634"/>
      <c r="AK68" s="634"/>
      <c r="AL68" s="634"/>
      <c r="AM68" s="633"/>
      <c r="AN68" s="634"/>
      <c r="AO68" s="634"/>
      <c r="AP68" s="634"/>
      <c r="AQ68" s="633"/>
      <c r="AR68" s="634"/>
      <c r="AS68" s="634"/>
      <c r="AT68" s="634"/>
      <c r="AU68" s="633">
        <v>2.9600000000000001E-2</v>
      </c>
      <c r="AV68" s="634">
        <v>2.9489999999999999E-2</v>
      </c>
      <c r="AW68" s="634">
        <v>2.9600000000000001E-2</v>
      </c>
      <c r="AX68" s="634">
        <v>2.9610000000000001E-2</v>
      </c>
      <c r="AY68" s="633">
        <v>2.9579999999999999E-2</v>
      </c>
      <c r="AZ68" s="634">
        <v>2.9610000000000001E-2</v>
      </c>
      <c r="BA68" s="634">
        <v>2.964E-2</v>
      </c>
      <c r="BB68" s="634">
        <v>2.9530000000000001E-2</v>
      </c>
      <c r="BC68" s="633">
        <v>0</v>
      </c>
      <c r="BD68" s="634">
        <v>0</v>
      </c>
      <c r="BE68" s="634">
        <v>0</v>
      </c>
      <c r="BF68" s="634">
        <v>0</v>
      </c>
    </row>
    <row r="69" spans="1:58" s="635" customFormat="1">
      <c r="A69" s="532" t="s">
        <v>867</v>
      </c>
      <c r="B69" s="618" t="s">
        <v>876</v>
      </c>
      <c r="C69" s="633"/>
      <c r="D69" s="634"/>
      <c r="E69" s="634"/>
      <c r="F69" s="634"/>
      <c r="G69" s="633"/>
      <c r="H69" s="634"/>
      <c r="I69" s="634"/>
      <c r="J69" s="634"/>
      <c r="K69" s="633"/>
      <c r="L69" s="634"/>
      <c r="M69" s="634"/>
      <c r="N69" s="634"/>
      <c r="O69" s="633"/>
      <c r="P69" s="634"/>
      <c r="Q69" s="634"/>
      <c r="R69" s="634"/>
      <c r="S69" s="633"/>
      <c r="T69" s="634"/>
      <c r="U69" s="634"/>
      <c r="V69" s="634"/>
      <c r="W69" s="633"/>
      <c r="X69" s="634"/>
      <c r="Y69" s="634"/>
      <c r="Z69" s="634"/>
      <c r="AA69" s="633"/>
      <c r="AB69" s="634"/>
      <c r="AC69" s="634"/>
      <c r="AD69" s="634"/>
      <c r="AE69" s="633"/>
      <c r="AF69" s="634"/>
      <c r="AG69" s="634"/>
      <c r="AH69" s="634"/>
      <c r="AI69" s="633"/>
      <c r="AJ69" s="634"/>
      <c r="AK69" s="634"/>
      <c r="AL69" s="634"/>
      <c r="AM69" s="633"/>
      <c r="AN69" s="634"/>
      <c r="AO69" s="634"/>
      <c r="AP69" s="634"/>
      <c r="AQ69" s="633"/>
      <c r="AR69" s="634"/>
      <c r="AS69" s="634"/>
      <c r="AT69" s="634"/>
      <c r="AU69" s="633">
        <v>0</v>
      </c>
      <c r="AV69" s="634">
        <v>3.0000000000000001E-5</v>
      </c>
      <c r="AW69" s="634">
        <v>4.0000000000000003E-5</v>
      </c>
      <c r="AX69" s="634">
        <v>6.0000000000000002E-5</v>
      </c>
      <c r="AY69" s="633">
        <v>5.0000000000000002E-5</v>
      </c>
      <c r="AZ69" s="634">
        <v>3.0000000000000001E-5</v>
      </c>
      <c r="BA69" s="634">
        <v>2.0000000000000002E-5</v>
      </c>
      <c r="BB69" s="634">
        <v>2.0000000000000002E-5</v>
      </c>
      <c r="BC69" s="633">
        <v>2.0000000000000002E-5</v>
      </c>
      <c r="BD69" s="634">
        <v>2.0000000000000002E-5</v>
      </c>
      <c r="BE69" s="634">
        <v>1.0000000000000001E-5</v>
      </c>
      <c r="BF69" s="634">
        <v>2.0000000000000002E-5</v>
      </c>
    </row>
    <row r="70" spans="1:58" s="339" customFormat="1" ht="11.25">
      <c r="A70" s="51" t="s">
        <v>868</v>
      </c>
      <c r="B70" s="51" t="s">
        <v>877</v>
      </c>
      <c r="C70" s="340"/>
      <c r="D70" s="341"/>
      <c r="E70" s="341"/>
      <c r="F70" s="342"/>
      <c r="G70" s="340"/>
      <c r="H70" s="341"/>
      <c r="I70" s="341"/>
      <c r="J70" s="342"/>
      <c r="K70" s="340"/>
      <c r="L70" s="341"/>
      <c r="M70" s="341"/>
      <c r="N70" s="342"/>
      <c r="O70" s="340"/>
      <c r="P70" s="341"/>
      <c r="Q70" s="341"/>
      <c r="R70" s="342"/>
      <c r="S70" s="340"/>
      <c r="T70" s="341"/>
      <c r="U70" s="341"/>
      <c r="V70" s="342"/>
      <c r="W70" s="340"/>
      <c r="X70" s="341"/>
      <c r="Y70" s="341"/>
      <c r="Z70" s="342"/>
      <c r="AA70" s="340"/>
      <c r="AB70" s="341"/>
      <c r="AC70" s="341"/>
      <c r="AD70" s="342"/>
      <c r="AE70" s="340"/>
      <c r="AF70" s="341"/>
      <c r="AG70" s="341"/>
      <c r="AH70" s="342"/>
      <c r="AI70" s="341"/>
      <c r="AJ70" s="341"/>
      <c r="AK70" s="341"/>
      <c r="AL70" s="342"/>
      <c r="AM70" s="341"/>
      <c r="AN70" s="341"/>
      <c r="AO70" s="341"/>
      <c r="AP70" s="342"/>
      <c r="AQ70" s="340"/>
      <c r="AR70" s="341"/>
      <c r="AS70" s="341"/>
      <c r="AT70" s="341"/>
      <c r="AU70" s="345">
        <f t="shared" ref="AU70:BA70" si="41">SUM(AU63,AU65,AU66,AU67*0.75,AU68,AU69)</f>
        <v>0.11360000000000001</v>
      </c>
      <c r="AV70" s="346">
        <f t="shared" si="41"/>
        <v>0.11352000000000001</v>
      </c>
      <c r="AW70" s="346">
        <f t="shared" si="41"/>
        <v>0.11364</v>
      </c>
      <c r="AX70" s="346">
        <f t="shared" si="41"/>
        <v>0.11367000000000001</v>
      </c>
      <c r="AY70" s="345">
        <f t="shared" si="41"/>
        <v>0.11962999999999999</v>
      </c>
      <c r="AZ70" s="346">
        <f t="shared" si="41"/>
        <v>0.11964</v>
      </c>
      <c r="BA70" s="346">
        <f t="shared" si="41"/>
        <v>0.11966</v>
      </c>
      <c r="BB70" s="346">
        <f>SUM(BB63,BB65,BB66,BB67*0.75,BB68,BB69)</f>
        <v>0.11955</v>
      </c>
      <c r="BC70" s="345">
        <f t="shared" ref="BC70" si="42">SUM(BC63,BC65,BC66,BC67*0.75,BC68,BC69)</f>
        <v>9.0020000000000003E-2</v>
      </c>
      <c r="BD70" s="346">
        <f t="shared" ref="BD70:BE70" si="43">SUM(BD63,BD65,BD66,BD67*0.75,BD68,BD69)</f>
        <v>9.0020000000000003E-2</v>
      </c>
      <c r="BE70" s="346">
        <f t="shared" si="43"/>
        <v>9.0009999999999993E-2</v>
      </c>
      <c r="BF70" s="346">
        <f t="shared" ref="BF70" si="44">SUM(BF63,BF65,BF66,BF67*0.75,BF68,BF69)</f>
        <v>9.0020000000000003E-2</v>
      </c>
    </row>
    <row r="71" spans="1:58" s="339" customFormat="1" ht="11.25">
      <c r="A71" s="51" t="s">
        <v>869</v>
      </c>
      <c r="B71" s="51" t="s">
        <v>878</v>
      </c>
      <c r="C71" s="340"/>
      <c r="D71" s="341"/>
      <c r="E71" s="341"/>
      <c r="F71" s="342"/>
      <c r="G71" s="340"/>
      <c r="H71" s="341"/>
      <c r="I71" s="341"/>
      <c r="J71" s="342"/>
      <c r="K71" s="340"/>
      <c r="L71" s="341"/>
      <c r="M71" s="341"/>
      <c r="N71" s="342"/>
      <c r="O71" s="340"/>
      <c r="P71" s="341"/>
      <c r="Q71" s="341"/>
      <c r="R71" s="342"/>
      <c r="S71" s="340"/>
      <c r="T71" s="341"/>
      <c r="U71" s="341"/>
      <c r="V71" s="342"/>
      <c r="W71" s="340"/>
      <c r="X71" s="341"/>
      <c r="Y71" s="341"/>
      <c r="Z71" s="342"/>
      <c r="AA71" s="340"/>
      <c r="AB71" s="341"/>
      <c r="AC71" s="341"/>
      <c r="AD71" s="342"/>
      <c r="AE71" s="340"/>
      <c r="AF71" s="341"/>
      <c r="AG71" s="341"/>
      <c r="AH71" s="342"/>
      <c r="AI71" s="341"/>
      <c r="AJ71" s="341"/>
      <c r="AK71" s="341"/>
      <c r="AL71" s="342"/>
      <c r="AM71" s="341"/>
      <c r="AN71" s="341"/>
      <c r="AO71" s="341"/>
      <c r="AP71" s="342"/>
      <c r="AQ71" s="340"/>
      <c r="AR71" s="341"/>
      <c r="AS71" s="341"/>
      <c r="AT71" s="341"/>
      <c r="AU71" s="345">
        <f t="shared" ref="AU71:BA71" si="45">SUM(AU64,AU65,AU66,AU67,AU68,AU69)</f>
        <v>0.1336</v>
      </c>
      <c r="AV71" s="346">
        <f t="shared" si="45"/>
        <v>0.13352</v>
      </c>
      <c r="AW71" s="346">
        <f t="shared" si="45"/>
        <v>0.13364000000000001</v>
      </c>
      <c r="AX71" s="346">
        <f t="shared" si="45"/>
        <v>0.13367000000000001</v>
      </c>
      <c r="AY71" s="345">
        <f t="shared" si="45"/>
        <v>0.13963</v>
      </c>
      <c r="AZ71" s="346">
        <f t="shared" si="45"/>
        <v>0.13964000000000001</v>
      </c>
      <c r="BA71" s="346">
        <f t="shared" si="45"/>
        <v>0.13966000000000001</v>
      </c>
      <c r="BB71" s="346">
        <f>SUM(BB64,BB65,BB66,BB67,BB68,BB69)</f>
        <v>0.13955000000000001</v>
      </c>
      <c r="BC71" s="345">
        <f t="shared" ref="BC71" si="46">SUM(BC64,BC65,BC66,BC67,BC68,BC69)</f>
        <v>0.11002000000000002</v>
      </c>
      <c r="BD71" s="346">
        <f t="shared" ref="BD71:BE71" si="47">SUM(BD64,BD65,BD66,BD67,BD68,BD69)</f>
        <v>0.11002000000000002</v>
      </c>
      <c r="BE71" s="346">
        <f t="shared" si="47"/>
        <v>0.11001000000000001</v>
      </c>
      <c r="BF71" s="346">
        <f t="shared" ref="BF71" si="48">SUM(BF64,BF65,BF66,BF67,BF68,BF69)</f>
        <v>0.11002000000000002</v>
      </c>
    </row>
  </sheetData>
  <mergeCells count="16">
    <mergeCell ref="BC10:BF10"/>
    <mergeCell ref="AY10:BB10"/>
    <mergeCell ref="A10:A11"/>
    <mergeCell ref="B10:B11"/>
    <mergeCell ref="C10:F10"/>
    <mergeCell ref="G10:J10"/>
    <mergeCell ref="K10:N10"/>
    <mergeCell ref="AU10:AX10"/>
    <mergeCell ref="AI10:AL10"/>
    <mergeCell ref="O10:R10"/>
    <mergeCell ref="AA10:AD10"/>
    <mergeCell ref="AQ10:AT10"/>
    <mergeCell ref="S10:V10"/>
    <mergeCell ref="W10:Z10"/>
    <mergeCell ref="AE10:AH10"/>
    <mergeCell ref="AM10:AP10"/>
  </mergeCells>
  <pageMargins left="0.23622047244094491" right="0.23622047244094491" top="0.74803149606299213" bottom="0.74803149606299213" header="0.31496062992125984" footer="0.31496062992125984"/>
  <pageSetup paperSize="9" scale="15" orientation="portrait" r:id="rId1"/>
  <ignoredErrors>
    <ignoredError sqref="C58:U58 C56:AE57 C54:AD54 C39:AE39 C29:U29 C30:U30 C28:AE28 C27:AD27 C31:U32 C53:AE53 C33:AD33 C50:AE50 C52:AE52 W58:AD58" formulaRange="1"/>
  </ignoredErrors>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dimension ref="A1:BF30"/>
  <sheetViews>
    <sheetView showGridLines="0" view="pageBreakPreview" zoomScaleNormal="100" zoomScaleSheetLayoutView="100" zoomScalePageLayoutView="80" workbookViewId="0">
      <pane xSplit="2" ySplit="4" topLeftCell="AU5" activePane="bottomRight" state="frozen"/>
      <selection activeCell="B1" sqref="B1"/>
      <selection pane="topRight" activeCell="C1" sqref="C1"/>
      <selection pane="bottomLeft" activeCell="B5" sqref="B5"/>
      <selection pane="bottomRight" activeCell="BC2" sqref="BC2:BF2"/>
    </sheetView>
  </sheetViews>
  <sheetFormatPr defaultColWidth="8.85546875" defaultRowHeight="13.5" outlineLevelCol="1"/>
  <cols>
    <col min="1" max="1" width="46.85546875" style="52" bestFit="1" customWidth="1" outlineLevel="1"/>
    <col min="2" max="2" width="51.5703125" style="52" bestFit="1" customWidth="1"/>
    <col min="3" max="58" width="5.7109375" style="13" customWidth="1"/>
    <col min="59" max="16384" width="8.85546875" style="13"/>
  </cols>
  <sheetData>
    <row r="1" spans="1:58">
      <c r="A1" s="53" t="s">
        <v>424</v>
      </c>
      <c r="B1" s="53" t="s">
        <v>425</v>
      </c>
    </row>
    <row r="2" spans="1:58">
      <c r="A2" s="639" t="s">
        <v>281</v>
      </c>
      <c r="B2" s="639" t="s">
        <v>125</v>
      </c>
      <c r="C2" s="636">
        <v>2007</v>
      </c>
      <c r="D2" s="641"/>
      <c r="E2" s="641"/>
      <c r="F2" s="641"/>
      <c r="G2" s="636">
        <v>2008</v>
      </c>
      <c r="H2" s="641"/>
      <c r="I2" s="641"/>
      <c r="J2" s="641"/>
      <c r="K2" s="636">
        <v>2009</v>
      </c>
      <c r="L2" s="641"/>
      <c r="M2" s="641"/>
      <c r="N2" s="641"/>
      <c r="O2" s="636">
        <v>2010</v>
      </c>
      <c r="P2" s="641"/>
      <c r="Q2" s="641"/>
      <c r="R2" s="641"/>
      <c r="S2" s="636">
        <v>2011</v>
      </c>
      <c r="T2" s="641"/>
      <c r="U2" s="641"/>
      <c r="V2" s="641"/>
      <c r="W2" s="636">
        <v>2012</v>
      </c>
      <c r="X2" s="641"/>
      <c r="Y2" s="641"/>
      <c r="Z2" s="641"/>
      <c r="AA2" s="636">
        <v>2013</v>
      </c>
      <c r="AB2" s="641"/>
      <c r="AC2" s="641"/>
      <c r="AD2" s="641"/>
      <c r="AE2" s="636">
        <v>2014</v>
      </c>
      <c r="AF2" s="641"/>
      <c r="AG2" s="641"/>
      <c r="AH2" s="641"/>
      <c r="AI2" s="636">
        <v>2015</v>
      </c>
      <c r="AJ2" s="641"/>
      <c r="AK2" s="641"/>
      <c r="AL2" s="641"/>
      <c r="AM2" s="636">
        <v>2016</v>
      </c>
      <c r="AN2" s="641"/>
      <c r="AO2" s="641"/>
      <c r="AP2" s="641"/>
      <c r="AQ2" s="636">
        <v>2017</v>
      </c>
      <c r="AR2" s="641"/>
      <c r="AS2" s="641"/>
      <c r="AT2" s="646"/>
      <c r="AU2" s="636">
        <v>2018</v>
      </c>
      <c r="AV2" s="637"/>
      <c r="AW2" s="637"/>
      <c r="AX2" s="638"/>
      <c r="AY2" s="636">
        <v>2019</v>
      </c>
      <c r="AZ2" s="637"/>
      <c r="BA2" s="637"/>
      <c r="BB2" s="638"/>
      <c r="BC2" s="636">
        <v>2020</v>
      </c>
      <c r="BD2" s="637"/>
      <c r="BE2" s="637"/>
      <c r="BF2" s="638"/>
    </row>
    <row r="3" spans="1:58" s="14" customFormat="1">
      <c r="A3" s="640"/>
      <c r="B3" s="640"/>
      <c r="C3" s="20" t="s">
        <v>149</v>
      </c>
      <c r="D3" s="21" t="s">
        <v>150</v>
      </c>
      <c r="E3" s="21" t="s">
        <v>151</v>
      </c>
      <c r="F3" s="21" t="s">
        <v>152</v>
      </c>
      <c r="G3" s="20" t="s">
        <v>149</v>
      </c>
      <c r="H3" s="21" t="s">
        <v>150</v>
      </c>
      <c r="I3" s="21" t="s">
        <v>151</v>
      </c>
      <c r="J3" s="21" t="s">
        <v>152</v>
      </c>
      <c r="K3" s="20" t="s">
        <v>149</v>
      </c>
      <c r="L3" s="21" t="s">
        <v>150</v>
      </c>
      <c r="M3" s="21" t="s">
        <v>151</v>
      </c>
      <c r="N3" s="21" t="s">
        <v>152</v>
      </c>
      <c r="O3" s="20" t="s">
        <v>149</v>
      </c>
      <c r="P3" s="21" t="s">
        <v>150</v>
      </c>
      <c r="Q3" s="21" t="s">
        <v>151</v>
      </c>
      <c r="R3" s="21" t="s">
        <v>152</v>
      </c>
      <c r="S3" s="20" t="s">
        <v>149</v>
      </c>
      <c r="T3" s="21" t="s">
        <v>150</v>
      </c>
      <c r="U3" s="21" t="s">
        <v>151</v>
      </c>
      <c r="V3" s="21" t="s">
        <v>152</v>
      </c>
      <c r="W3" s="20" t="s">
        <v>149</v>
      </c>
      <c r="X3" s="21" t="s">
        <v>150</v>
      </c>
      <c r="Y3" s="21" t="s">
        <v>151</v>
      </c>
      <c r="Z3" s="21" t="s">
        <v>152</v>
      </c>
      <c r="AA3" s="20" t="s">
        <v>149</v>
      </c>
      <c r="AB3" s="21" t="s">
        <v>150</v>
      </c>
      <c r="AC3" s="21" t="s">
        <v>151</v>
      </c>
      <c r="AD3" s="21" t="s">
        <v>152</v>
      </c>
      <c r="AE3" s="20" t="s">
        <v>149</v>
      </c>
      <c r="AF3" s="21" t="s">
        <v>150</v>
      </c>
      <c r="AG3" s="21" t="s">
        <v>151</v>
      </c>
      <c r="AH3" s="21" t="s">
        <v>152</v>
      </c>
      <c r="AI3" s="20" t="s">
        <v>149</v>
      </c>
      <c r="AJ3" s="21" t="s">
        <v>150</v>
      </c>
      <c r="AK3" s="21" t="s">
        <v>151</v>
      </c>
      <c r="AL3" s="21" t="s">
        <v>152</v>
      </c>
      <c r="AM3" s="20" t="s">
        <v>149</v>
      </c>
      <c r="AN3" s="21" t="s">
        <v>150</v>
      </c>
      <c r="AO3" s="21" t="s">
        <v>151</v>
      </c>
      <c r="AP3" s="21" t="s">
        <v>152</v>
      </c>
      <c r="AQ3" s="20" t="s">
        <v>149</v>
      </c>
      <c r="AR3" s="21" t="s">
        <v>150</v>
      </c>
      <c r="AS3" s="21" t="s">
        <v>151</v>
      </c>
      <c r="AT3" s="21" t="s">
        <v>152</v>
      </c>
      <c r="AU3" s="20" t="s">
        <v>149</v>
      </c>
      <c r="AV3" s="21" t="s">
        <v>150</v>
      </c>
      <c r="AW3" s="21" t="s">
        <v>151</v>
      </c>
      <c r="AX3" s="21" t="s">
        <v>152</v>
      </c>
      <c r="AY3" s="20" t="s">
        <v>149</v>
      </c>
      <c r="AZ3" s="21" t="s">
        <v>150</v>
      </c>
      <c r="BA3" s="21" t="s">
        <v>151</v>
      </c>
      <c r="BB3" s="21" t="s">
        <v>152</v>
      </c>
      <c r="BC3" s="20" t="s">
        <v>149</v>
      </c>
      <c r="BD3" s="21" t="s">
        <v>150</v>
      </c>
      <c r="BE3" s="21" t="s">
        <v>151</v>
      </c>
      <c r="BF3" s="21" t="s">
        <v>152</v>
      </c>
    </row>
    <row r="4" spans="1:58" s="172" customFormat="1" ht="12.75" customHeight="1">
      <c r="A4" s="22"/>
      <c r="B4" s="22"/>
      <c r="C4" s="108"/>
      <c r="D4" s="55"/>
      <c r="E4" s="55"/>
      <c r="F4" s="55"/>
      <c r="G4" s="108"/>
      <c r="H4" s="55"/>
      <c r="I4" s="55"/>
      <c r="J4" s="177"/>
      <c r="K4" s="108"/>
      <c r="L4" s="55"/>
      <c r="M4" s="55"/>
      <c r="N4" s="177"/>
      <c r="O4" s="108"/>
      <c r="P4" s="55"/>
      <c r="Q4" s="55"/>
      <c r="R4" s="177"/>
      <c r="S4" s="108"/>
      <c r="T4" s="55"/>
      <c r="U4" s="55"/>
      <c r="V4" s="177"/>
      <c r="W4" s="108"/>
      <c r="X4" s="55"/>
      <c r="Y4" s="55"/>
      <c r="Z4" s="55"/>
      <c r="AA4" s="108"/>
      <c r="AB4" s="55"/>
      <c r="AC4" s="55"/>
      <c r="AD4" s="55"/>
      <c r="AE4" s="108"/>
      <c r="AF4" s="55"/>
      <c r="AG4" s="55"/>
      <c r="AH4" s="55"/>
      <c r="AI4" s="108"/>
      <c r="AJ4" s="55"/>
      <c r="AK4" s="55"/>
      <c r="AL4" s="55"/>
      <c r="AM4" s="108"/>
      <c r="AN4" s="55"/>
      <c r="AO4" s="55"/>
      <c r="AP4" s="55"/>
      <c r="AQ4" s="108"/>
      <c r="AR4" s="55"/>
      <c r="AS4" s="55"/>
      <c r="AT4" s="55"/>
      <c r="AU4" s="108"/>
      <c r="AV4" s="55"/>
      <c r="AW4" s="55"/>
      <c r="AX4" s="55"/>
      <c r="AY4" s="108"/>
      <c r="AZ4" s="55"/>
      <c r="BA4" s="55"/>
      <c r="BB4" s="55"/>
      <c r="BC4" s="108"/>
      <c r="BD4" s="55"/>
      <c r="BE4" s="55"/>
      <c r="BF4" s="55"/>
    </row>
    <row r="5" spans="1:58" s="428" customFormat="1" ht="11.25">
      <c r="A5" s="509" t="s">
        <v>282</v>
      </c>
      <c r="B5" s="509" t="s">
        <v>126</v>
      </c>
      <c r="C5" s="414"/>
      <c r="D5" s="415"/>
      <c r="E5" s="415"/>
      <c r="F5" s="415"/>
      <c r="G5" s="414"/>
      <c r="H5" s="415"/>
      <c r="I5" s="415"/>
      <c r="J5" s="416"/>
      <c r="K5" s="414"/>
      <c r="L5" s="415"/>
      <c r="M5" s="415"/>
      <c r="N5" s="416"/>
      <c r="O5" s="414"/>
      <c r="P5" s="415"/>
      <c r="Q5" s="415"/>
      <c r="R5" s="416"/>
      <c r="S5" s="414"/>
      <c r="T5" s="415"/>
      <c r="U5" s="415"/>
      <c r="V5" s="416"/>
      <c r="W5" s="414"/>
      <c r="X5" s="415"/>
      <c r="Y5" s="415"/>
      <c r="Z5" s="415"/>
      <c r="AA5" s="414"/>
      <c r="AB5" s="415"/>
      <c r="AC5" s="415"/>
      <c r="AD5" s="415"/>
      <c r="AE5" s="414"/>
      <c r="AF5" s="415"/>
      <c r="AG5" s="415"/>
      <c r="AH5" s="415"/>
      <c r="AI5" s="414"/>
      <c r="AJ5" s="415"/>
      <c r="AK5" s="415"/>
      <c r="AL5" s="415"/>
      <c r="AM5" s="414"/>
      <c r="AN5" s="415"/>
      <c r="AO5" s="415"/>
      <c r="AP5" s="415"/>
      <c r="AQ5" s="414"/>
      <c r="AR5" s="415"/>
      <c r="AS5" s="415"/>
      <c r="AT5" s="415"/>
      <c r="AU5" s="414"/>
      <c r="AV5" s="415"/>
      <c r="AW5" s="415"/>
      <c r="AX5" s="415"/>
      <c r="AY5" s="414"/>
      <c r="AZ5" s="415"/>
      <c r="BA5" s="415"/>
      <c r="BB5" s="415"/>
      <c r="BC5" s="414"/>
      <c r="BD5" s="415"/>
      <c r="BE5" s="415"/>
      <c r="BF5" s="415"/>
    </row>
    <row r="6" spans="1:58" s="428" customFormat="1" ht="11.25">
      <c r="A6" s="411" t="s">
        <v>283</v>
      </c>
      <c r="B6" s="411" t="s">
        <v>127</v>
      </c>
      <c r="C6" s="414"/>
      <c r="D6" s="415"/>
      <c r="E6" s="415"/>
      <c r="F6" s="415"/>
      <c r="G6" s="414"/>
      <c r="H6" s="415"/>
      <c r="I6" s="415"/>
      <c r="J6" s="416"/>
      <c r="K6" s="414"/>
      <c r="L6" s="415"/>
      <c r="M6" s="415"/>
      <c r="N6" s="416"/>
      <c r="O6" s="414"/>
      <c r="P6" s="415"/>
      <c r="Q6" s="415"/>
      <c r="R6" s="416"/>
      <c r="S6" s="414"/>
      <c r="T6" s="415"/>
      <c r="U6" s="415"/>
      <c r="V6" s="416"/>
      <c r="W6" s="414"/>
      <c r="X6" s="415"/>
      <c r="Y6" s="415"/>
      <c r="Z6" s="415"/>
      <c r="AA6" s="414"/>
      <c r="AB6" s="415"/>
      <c r="AC6" s="415"/>
      <c r="AD6" s="415"/>
      <c r="AE6" s="414"/>
      <c r="AF6" s="415"/>
      <c r="AG6" s="415"/>
      <c r="AH6" s="415"/>
      <c r="AI6" s="414"/>
      <c r="AJ6" s="415"/>
      <c r="AK6" s="415"/>
      <c r="AL6" s="415"/>
      <c r="AM6" s="414"/>
      <c r="AN6" s="415"/>
      <c r="AO6" s="415"/>
      <c r="AP6" s="415"/>
      <c r="AQ6" s="414"/>
      <c r="AR6" s="415"/>
      <c r="AS6" s="415"/>
      <c r="AT6" s="415"/>
      <c r="AU6" s="414"/>
      <c r="AV6" s="415"/>
      <c r="AW6" s="415"/>
      <c r="AX6" s="415"/>
      <c r="AY6" s="414"/>
      <c r="AZ6" s="415"/>
      <c r="BA6" s="415"/>
      <c r="BB6" s="415"/>
      <c r="BC6" s="414"/>
      <c r="BD6" s="415"/>
      <c r="BE6" s="415"/>
      <c r="BF6" s="415"/>
    </row>
    <row r="7" spans="1:58" s="428" customFormat="1" ht="11.25">
      <c r="A7" s="411" t="s">
        <v>284</v>
      </c>
      <c r="B7" s="411" t="s">
        <v>352</v>
      </c>
      <c r="C7" s="414">
        <v>7578</v>
      </c>
      <c r="D7" s="415">
        <v>7676</v>
      </c>
      <c r="E7" s="415">
        <v>7828</v>
      </c>
      <c r="F7" s="415">
        <v>8048</v>
      </c>
      <c r="G7" s="414">
        <v>8137</v>
      </c>
      <c r="H7" s="415">
        <v>8318</v>
      </c>
      <c r="I7" s="415">
        <v>8330</v>
      </c>
      <c r="J7" s="416">
        <v>8454</v>
      </c>
      <c r="K7" s="414">
        <v>8368</v>
      </c>
      <c r="L7" s="415">
        <v>8196</v>
      </c>
      <c r="M7" s="415">
        <v>8092</v>
      </c>
      <c r="N7" s="416">
        <v>8064</v>
      </c>
      <c r="O7" s="414">
        <v>8084</v>
      </c>
      <c r="P7" s="415">
        <v>8183</v>
      </c>
      <c r="Q7" s="415">
        <v>8366</v>
      </c>
      <c r="R7" s="416">
        <v>8314</v>
      </c>
      <c r="S7" s="414">
        <v>8358</v>
      </c>
      <c r="T7" s="415">
        <v>8357</v>
      </c>
      <c r="U7" s="415">
        <v>8212</v>
      </c>
      <c r="V7" s="416">
        <v>8344</v>
      </c>
      <c r="W7" s="414">
        <v>8608</v>
      </c>
      <c r="X7" s="415">
        <v>8639</v>
      </c>
      <c r="Y7" s="415">
        <v>8633</v>
      </c>
      <c r="Z7" s="415">
        <v>8603</v>
      </c>
      <c r="AA7" s="414">
        <v>8569</v>
      </c>
      <c r="AB7" s="415">
        <v>8511</v>
      </c>
      <c r="AC7" s="415">
        <v>8449</v>
      </c>
      <c r="AD7" s="415">
        <v>8396</v>
      </c>
      <c r="AE7" s="414">
        <v>8327</v>
      </c>
      <c r="AF7" s="415">
        <v>8302</v>
      </c>
      <c r="AG7" s="415">
        <v>8302</v>
      </c>
      <c r="AH7" s="415">
        <v>8287</v>
      </c>
      <c r="AI7" s="414">
        <v>8332</v>
      </c>
      <c r="AJ7" s="415">
        <v>8338</v>
      </c>
      <c r="AK7" s="415">
        <v>8314</v>
      </c>
      <c r="AL7" s="415">
        <v>8274</v>
      </c>
      <c r="AM7" s="414">
        <v>8271</v>
      </c>
      <c r="AN7" s="415">
        <v>8245</v>
      </c>
      <c r="AO7" s="415">
        <v>8179</v>
      </c>
      <c r="AP7" s="415">
        <v>8025</v>
      </c>
      <c r="AQ7" s="414">
        <v>7966</v>
      </c>
      <c r="AR7" s="415">
        <v>7980</v>
      </c>
      <c r="AS7" s="415">
        <v>8016</v>
      </c>
      <c r="AT7" s="415">
        <v>8032</v>
      </c>
      <c r="AU7" s="414">
        <v>8082</v>
      </c>
      <c r="AV7" s="415">
        <v>8075</v>
      </c>
      <c r="AW7" s="415">
        <v>8080</v>
      </c>
      <c r="AX7" s="415">
        <v>8086</v>
      </c>
      <c r="AY7" s="414">
        <v>8115</v>
      </c>
      <c r="AZ7" s="415">
        <v>8170</v>
      </c>
      <c r="BA7" s="415">
        <v>8113</v>
      </c>
      <c r="BB7" s="415">
        <v>8135</v>
      </c>
      <c r="BC7" s="414">
        <v>8187</v>
      </c>
      <c r="BD7" s="415">
        <v>8181</v>
      </c>
      <c r="BE7" s="415">
        <v>8290</v>
      </c>
      <c r="BF7" s="415">
        <v>8507</v>
      </c>
    </row>
    <row r="8" spans="1:58" s="418" customFormat="1" ht="11.25">
      <c r="A8" s="411" t="s">
        <v>285</v>
      </c>
      <c r="B8" s="411" t="s">
        <v>353</v>
      </c>
      <c r="C8" s="414">
        <v>7331.8906250000009</v>
      </c>
      <c r="D8" s="415">
        <v>7417.3703125000002</v>
      </c>
      <c r="E8" s="415">
        <v>7578.3996875000003</v>
      </c>
      <c r="F8" s="415">
        <v>7792.9743749999998</v>
      </c>
      <c r="G8" s="414">
        <v>7946.2468750000007</v>
      </c>
      <c r="H8" s="415">
        <v>8125.2243749999998</v>
      </c>
      <c r="I8" s="415">
        <v>8143.5462500000012</v>
      </c>
      <c r="J8" s="416">
        <v>8279.6212500000001</v>
      </c>
      <c r="K8" s="414">
        <v>8206.4931250000009</v>
      </c>
      <c r="L8" s="415">
        <v>8048.7724999999991</v>
      </c>
      <c r="M8" s="415">
        <v>7951.6140625000007</v>
      </c>
      <c r="N8" s="416">
        <v>7914.1831250000005</v>
      </c>
      <c r="O8" s="414">
        <v>7931.9751086956512</v>
      </c>
      <c r="P8" s="415">
        <v>8027.0964285714272</v>
      </c>
      <c r="Q8" s="415">
        <v>8219.5053977272728</v>
      </c>
      <c r="R8" s="416">
        <v>8158.847826086957</v>
      </c>
      <c r="S8" s="414">
        <v>8216.8850000000002</v>
      </c>
      <c r="T8" s="415">
        <v>8204.3430000000008</v>
      </c>
      <c r="U8" s="415">
        <v>8061.3829999999998</v>
      </c>
      <c r="V8" s="416">
        <v>8194.9039999999986</v>
      </c>
      <c r="W8" s="414">
        <v>8453.421214554226</v>
      </c>
      <c r="X8" s="415">
        <v>8487.6032153000015</v>
      </c>
      <c r="Y8" s="415">
        <v>8465.2729999999992</v>
      </c>
      <c r="Z8" s="415">
        <v>8424.7649999999994</v>
      </c>
      <c r="AA8" s="414">
        <v>8391.2250000000004</v>
      </c>
      <c r="AB8" s="415">
        <v>8381.15</v>
      </c>
      <c r="AC8" s="415">
        <v>8336.17</v>
      </c>
      <c r="AD8" s="415">
        <v>8275.9549999999999</v>
      </c>
      <c r="AE8" s="414">
        <v>8208.8623809523815</v>
      </c>
      <c r="AF8" s="415">
        <v>8230.2400000000016</v>
      </c>
      <c r="AG8" s="415">
        <v>8229.130000000001</v>
      </c>
      <c r="AH8" s="415">
        <v>8223.8950000000004</v>
      </c>
      <c r="AI8" s="414">
        <v>8274.6200000000008</v>
      </c>
      <c r="AJ8" s="415">
        <v>8272.0249999999996</v>
      </c>
      <c r="AK8" s="415">
        <v>8254.363409090909</v>
      </c>
      <c r="AL8" s="415">
        <v>8218.66096590909</v>
      </c>
      <c r="AM8" s="414">
        <v>8215.8447727272724</v>
      </c>
      <c r="AN8" s="415">
        <v>8193.1556818181834</v>
      </c>
      <c r="AO8" s="415">
        <v>8130.4174999999996</v>
      </c>
      <c r="AP8" s="415">
        <v>7969.5550000000003</v>
      </c>
      <c r="AQ8" s="414">
        <v>7912.6159239130438</v>
      </c>
      <c r="AR8" s="415">
        <v>7932.7571428571428</v>
      </c>
      <c r="AS8" s="415">
        <v>7970.2934523809517</v>
      </c>
      <c r="AT8" s="415">
        <v>7979.35</v>
      </c>
      <c r="AU8" s="414">
        <v>8032.9943181818162</v>
      </c>
      <c r="AV8" s="415">
        <v>8026.2717261904754</v>
      </c>
      <c r="AW8" s="415">
        <v>8033.5629999999983</v>
      </c>
      <c r="AX8" s="415">
        <v>8033.6309999999976</v>
      </c>
      <c r="AY8" s="414">
        <v>8063.1232023809516</v>
      </c>
      <c r="AZ8" s="415">
        <v>8119.3386315789476</v>
      </c>
      <c r="BA8" s="415">
        <v>8052.97</v>
      </c>
      <c r="BB8" s="415">
        <v>8071.62</v>
      </c>
      <c r="BC8" s="414">
        <v>8135.17</v>
      </c>
      <c r="BD8" s="415">
        <v>8131.41</v>
      </c>
      <c r="BE8" s="415">
        <v>8237.9500000000007</v>
      </c>
      <c r="BF8" s="415">
        <v>8451.17</v>
      </c>
    </row>
    <row r="9" spans="1:58" s="424" customFormat="1" ht="11.25">
      <c r="A9" s="411" t="s">
        <v>286</v>
      </c>
      <c r="B9" s="411" t="s">
        <v>128</v>
      </c>
      <c r="C9" s="414"/>
      <c r="D9" s="415"/>
      <c r="E9" s="415"/>
      <c r="F9" s="415"/>
      <c r="G9" s="414"/>
      <c r="H9" s="415"/>
      <c r="I9" s="415"/>
      <c r="J9" s="416"/>
      <c r="K9" s="414"/>
      <c r="L9" s="415"/>
      <c r="M9" s="415"/>
      <c r="N9" s="416"/>
      <c r="O9" s="414"/>
      <c r="P9" s="415"/>
      <c r="Q9" s="415"/>
      <c r="R9" s="416"/>
      <c r="S9" s="414"/>
      <c r="T9" s="415"/>
      <c r="U9" s="415"/>
      <c r="V9" s="416"/>
      <c r="W9" s="414"/>
      <c r="X9" s="415"/>
      <c r="Y9" s="415"/>
      <c r="Z9" s="415"/>
      <c r="AA9" s="414"/>
      <c r="AB9" s="415"/>
      <c r="AC9" s="415"/>
      <c r="AD9" s="415"/>
      <c r="AE9" s="414"/>
      <c r="AF9" s="415"/>
      <c r="AG9" s="415"/>
      <c r="AH9" s="415"/>
      <c r="AI9" s="414"/>
      <c r="AJ9" s="415"/>
      <c r="AK9" s="415"/>
      <c r="AL9" s="415"/>
      <c r="AM9" s="414"/>
      <c r="AN9" s="415"/>
      <c r="AO9" s="415"/>
      <c r="AP9" s="415"/>
      <c r="AQ9" s="414"/>
      <c r="AR9" s="415"/>
      <c r="AS9" s="415"/>
      <c r="AT9" s="415"/>
      <c r="AU9" s="414"/>
      <c r="AV9" s="415"/>
      <c r="AW9" s="415"/>
      <c r="AX9" s="415"/>
      <c r="AY9" s="414"/>
      <c r="AZ9" s="415"/>
      <c r="BA9" s="415"/>
      <c r="BB9" s="415"/>
      <c r="BC9" s="414"/>
      <c r="BD9" s="415"/>
      <c r="BE9" s="415"/>
      <c r="BF9" s="415"/>
    </row>
    <row r="10" spans="1:58" s="424" customFormat="1" ht="11.25">
      <c r="A10" s="411" t="s">
        <v>284</v>
      </c>
      <c r="B10" s="411" t="s">
        <v>352</v>
      </c>
      <c r="C10" s="414">
        <v>7338</v>
      </c>
      <c r="D10" s="415">
        <v>7439</v>
      </c>
      <c r="E10" s="415">
        <v>7588</v>
      </c>
      <c r="F10" s="415">
        <v>7816</v>
      </c>
      <c r="G10" s="414">
        <v>7905</v>
      </c>
      <c r="H10" s="415">
        <v>8082</v>
      </c>
      <c r="I10" s="415">
        <v>8096</v>
      </c>
      <c r="J10" s="416">
        <v>8214</v>
      </c>
      <c r="K10" s="414">
        <v>8131</v>
      </c>
      <c r="L10" s="415">
        <v>7966</v>
      </c>
      <c r="M10" s="415">
        <v>7850</v>
      </c>
      <c r="N10" s="416">
        <v>7827</v>
      </c>
      <c r="O10" s="414">
        <v>7846</v>
      </c>
      <c r="P10" s="415">
        <v>7946</v>
      </c>
      <c r="Q10" s="415">
        <v>8127</v>
      </c>
      <c r="R10" s="416">
        <v>8068</v>
      </c>
      <c r="S10" s="414">
        <v>8113</v>
      </c>
      <c r="T10" s="415">
        <v>8115</v>
      </c>
      <c r="U10" s="415">
        <v>7984</v>
      </c>
      <c r="V10" s="416">
        <v>8149</v>
      </c>
      <c r="W10" s="414">
        <v>8206</v>
      </c>
      <c r="X10" s="415">
        <v>8221</v>
      </c>
      <c r="Y10" s="415">
        <v>8189</v>
      </c>
      <c r="Z10" s="415">
        <v>8156</v>
      </c>
      <c r="AA10" s="414">
        <v>8126</v>
      </c>
      <c r="AB10" s="415">
        <v>8069</v>
      </c>
      <c r="AC10" s="415">
        <v>8000</v>
      </c>
      <c r="AD10" s="415">
        <v>7929</v>
      </c>
      <c r="AE10" s="414">
        <v>7862</v>
      </c>
      <c r="AF10" s="415">
        <v>7824</v>
      </c>
      <c r="AG10" s="415">
        <v>7837</v>
      </c>
      <c r="AH10" s="415">
        <v>7817</v>
      </c>
      <c r="AI10" s="414">
        <v>7849</v>
      </c>
      <c r="AJ10" s="415">
        <v>7869</v>
      </c>
      <c r="AK10" s="415">
        <v>7856</v>
      </c>
      <c r="AL10" s="415">
        <v>7813</v>
      </c>
      <c r="AM10" s="414">
        <v>7804</v>
      </c>
      <c r="AN10" s="415">
        <v>7873</v>
      </c>
      <c r="AO10" s="415">
        <v>7821</v>
      </c>
      <c r="AP10" s="415">
        <v>7669</v>
      </c>
      <c r="AQ10" s="414">
        <v>7611</v>
      </c>
      <c r="AR10" s="415">
        <v>7624</v>
      </c>
      <c r="AS10" s="415">
        <v>7654</v>
      </c>
      <c r="AT10" s="415">
        <v>7661</v>
      </c>
      <c r="AU10" s="414">
        <v>7701</v>
      </c>
      <c r="AV10" s="415">
        <v>7676</v>
      </c>
      <c r="AW10" s="415">
        <v>7676</v>
      </c>
      <c r="AX10" s="415">
        <v>7665</v>
      </c>
      <c r="AY10" s="414">
        <v>7692</v>
      </c>
      <c r="AZ10" s="415">
        <v>7740</v>
      </c>
      <c r="BA10" s="415">
        <v>7677</v>
      </c>
      <c r="BB10" s="415">
        <v>7690</v>
      </c>
      <c r="BC10" s="414">
        <v>7744</v>
      </c>
      <c r="BD10" s="415">
        <v>7737</v>
      </c>
      <c r="BE10" s="415">
        <v>7842</v>
      </c>
      <c r="BF10" s="415">
        <v>8053</v>
      </c>
    </row>
    <row r="11" spans="1:58" s="424" customFormat="1" ht="11.25">
      <c r="A11" s="411" t="s">
        <v>285</v>
      </c>
      <c r="B11" s="411" t="s">
        <v>353</v>
      </c>
      <c r="C11" s="414">
        <v>7104.1406250000009</v>
      </c>
      <c r="D11" s="415">
        <v>7192.2203125000005</v>
      </c>
      <c r="E11" s="415">
        <v>7349.8396874999999</v>
      </c>
      <c r="F11" s="415">
        <v>7573.7143749999996</v>
      </c>
      <c r="G11" s="414">
        <v>7726.4868750000005</v>
      </c>
      <c r="H11" s="415">
        <v>7900.7143749999996</v>
      </c>
      <c r="I11" s="415">
        <v>7920.786250000001</v>
      </c>
      <c r="J11" s="416">
        <v>8051.3612500000008</v>
      </c>
      <c r="K11" s="414">
        <v>7981.4331249999996</v>
      </c>
      <c r="L11" s="415">
        <v>7828.9124999999995</v>
      </c>
      <c r="M11" s="415">
        <v>7720.5540625000003</v>
      </c>
      <c r="N11" s="416">
        <v>7687.3731250000001</v>
      </c>
      <c r="O11" s="414">
        <v>7704.3251086956516</v>
      </c>
      <c r="P11" s="415">
        <v>7800.4464285714275</v>
      </c>
      <c r="Q11" s="415">
        <v>7989.2553977272728</v>
      </c>
      <c r="R11" s="416">
        <v>7920.847826086957</v>
      </c>
      <c r="S11" s="414">
        <v>7979.2349999999997</v>
      </c>
      <c r="T11" s="415">
        <v>7968.5630000000001</v>
      </c>
      <c r="U11" s="415">
        <v>7839.4529999999995</v>
      </c>
      <c r="V11" s="416">
        <v>8003.424</v>
      </c>
      <c r="W11" s="414">
        <v>8057.4409999999998</v>
      </c>
      <c r="X11" s="415">
        <v>8068.018</v>
      </c>
      <c r="Y11" s="415">
        <v>8033.5929999999998</v>
      </c>
      <c r="Z11" s="415">
        <v>7988.1049999999996</v>
      </c>
      <c r="AA11" s="414">
        <v>7962.8649999999998</v>
      </c>
      <c r="AB11" s="415">
        <v>7948.63</v>
      </c>
      <c r="AC11" s="415">
        <v>7894.6100000000006</v>
      </c>
      <c r="AD11" s="415">
        <v>7825.3450000000003</v>
      </c>
      <c r="AE11" s="414">
        <v>7759.9523809523807</v>
      </c>
      <c r="AF11" s="415">
        <v>7767.9000000000005</v>
      </c>
      <c r="AG11" s="415">
        <v>7779.4500000000016</v>
      </c>
      <c r="AH11" s="415">
        <v>7767.5349999999999</v>
      </c>
      <c r="AI11" s="414">
        <v>7803.9500000000007</v>
      </c>
      <c r="AJ11" s="415">
        <v>7817.7449999999999</v>
      </c>
      <c r="AK11" s="415">
        <v>7810.3084090909097</v>
      </c>
      <c r="AL11" s="415">
        <v>7771.2809659090899</v>
      </c>
      <c r="AM11" s="414">
        <v>7756.664772727273</v>
      </c>
      <c r="AN11" s="415">
        <v>7824.9556818181827</v>
      </c>
      <c r="AO11" s="415">
        <v>7776.0424999999996</v>
      </c>
      <c r="AP11" s="415">
        <v>7618.6550000000007</v>
      </c>
      <c r="AQ11" s="414">
        <v>7563.040923913044</v>
      </c>
      <c r="AR11" s="415">
        <v>7580.2321428571431</v>
      </c>
      <c r="AS11" s="415">
        <v>7611.4434523809523</v>
      </c>
      <c r="AT11" s="415">
        <v>7612.4210526315783</v>
      </c>
      <c r="AU11" s="414">
        <v>7655.4443181818169</v>
      </c>
      <c r="AV11" s="415">
        <v>7629.8467261904761</v>
      </c>
      <c r="AW11" s="415">
        <v>7633.6629999999986</v>
      </c>
      <c r="AX11" s="415">
        <v>7615.7059999999983</v>
      </c>
      <c r="AY11" s="414">
        <v>7643.6432023809521</v>
      </c>
      <c r="AZ11" s="415">
        <v>7693.108631578948</v>
      </c>
      <c r="BA11" s="415">
        <v>7631.29</v>
      </c>
      <c r="BB11" s="415">
        <v>7640.74</v>
      </c>
      <c r="BC11" s="414">
        <v>7704.67</v>
      </c>
      <c r="BD11" s="415">
        <v>7699.91</v>
      </c>
      <c r="BE11" s="415">
        <v>7807.3</v>
      </c>
      <c r="BF11" s="415">
        <v>8012.97</v>
      </c>
    </row>
    <row r="12" spans="1:58" s="428" customFormat="1" ht="11.25">
      <c r="A12" s="411"/>
      <c r="B12" s="411"/>
      <c r="C12" s="414"/>
      <c r="D12" s="415"/>
      <c r="E12" s="415"/>
      <c r="F12" s="415"/>
      <c r="G12" s="414"/>
      <c r="H12" s="415"/>
      <c r="I12" s="415"/>
      <c r="J12" s="416"/>
      <c r="K12" s="414"/>
      <c r="L12" s="415"/>
      <c r="M12" s="415"/>
      <c r="N12" s="416"/>
      <c r="O12" s="414"/>
      <c r="P12" s="415"/>
      <c r="Q12" s="415"/>
      <c r="R12" s="416"/>
      <c r="S12" s="414"/>
      <c r="T12" s="415"/>
      <c r="U12" s="415"/>
      <c r="V12" s="416"/>
      <c r="W12" s="414"/>
      <c r="X12" s="415"/>
      <c r="Y12" s="415"/>
      <c r="Z12" s="415"/>
      <c r="AA12" s="414"/>
      <c r="AB12" s="415"/>
      <c r="AC12" s="415"/>
      <c r="AD12" s="415"/>
      <c r="AE12" s="414"/>
      <c r="AF12" s="415"/>
      <c r="AG12" s="415"/>
      <c r="AH12" s="415"/>
      <c r="AI12" s="414"/>
      <c r="AJ12" s="415"/>
      <c r="AK12" s="415"/>
      <c r="AL12" s="415"/>
      <c r="AM12" s="414"/>
      <c r="AN12" s="415"/>
      <c r="AO12" s="415"/>
      <c r="AP12" s="415"/>
      <c r="AQ12" s="414"/>
      <c r="AR12" s="415"/>
      <c r="AS12" s="415"/>
      <c r="AT12" s="415"/>
      <c r="AU12" s="414"/>
      <c r="AV12" s="415"/>
      <c r="AW12" s="415"/>
      <c r="AX12" s="415"/>
      <c r="AY12" s="414"/>
      <c r="AZ12" s="415"/>
      <c r="BA12" s="415"/>
      <c r="BB12" s="415"/>
      <c r="BC12" s="414"/>
      <c r="BD12" s="415"/>
      <c r="BE12" s="415"/>
      <c r="BF12" s="415"/>
    </row>
    <row r="13" spans="1:58" s="424" customFormat="1" ht="11.25">
      <c r="A13" s="509" t="s">
        <v>287</v>
      </c>
      <c r="B13" s="509" t="s">
        <v>129</v>
      </c>
      <c r="C13" s="414">
        <v>350</v>
      </c>
      <c r="D13" s="415">
        <v>361</v>
      </c>
      <c r="E13" s="415">
        <v>375</v>
      </c>
      <c r="F13" s="415">
        <v>404</v>
      </c>
      <c r="G13" s="414">
        <v>415</v>
      </c>
      <c r="H13" s="415">
        <v>430</v>
      </c>
      <c r="I13" s="415">
        <v>432</v>
      </c>
      <c r="J13" s="416">
        <v>439</v>
      </c>
      <c r="K13" s="414">
        <v>439</v>
      </c>
      <c r="L13" s="415">
        <v>438</v>
      </c>
      <c r="M13" s="415">
        <v>438</v>
      </c>
      <c r="N13" s="416">
        <v>441</v>
      </c>
      <c r="O13" s="414">
        <v>441</v>
      </c>
      <c r="P13" s="415">
        <v>442</v>
      </c>
      <c r="Q13" s="415">
        <v>441</v>
      </c>
      <c r="R13" s="416">
        <v>443</v>
      </c>
      <c r="S13" s="414">
        <v>445</v>
      </c>
      <c r="T13" s="415">
        <v>443</v>
      </c>
      <c r="U13" s="415">
        <v>441</v>
      </c>
      <c r="V13" s="416">
        <v>439</v>
      </c>
      <c r="W13" s="414">
        <v>438</v>
      </c>
      <c r="X13" s="415">
        <v>437</v>
      </c>
      <c r="Y13" s="415">
        <v>432</v>
      </c>
      <c r="Z13" s="415">
        <v>426</v>
      </c>
      <c r="AA13" s="414">
        <v>423</v>
      </c>
      <c r="AB13" s="415">
        <v>421</v>
      </c>
      <c r="AC13" s="415">
        <v>421</v>
      </c>
      <c r="AD13" s="415">
        <v>417</v>
      </c>
      <c r="AE13" s="414">
        <v>412</v>
      </c>
      <c r="AF13" s="415">
        <v>409</v>
      </c>
      <c r="AG13" s="415">
        <v>407</v>
      </c>
      <c r="AH13" s="415">
        <v>401</v>
      </c>
      <c r="AI13" s="414">
        <v>401</v>
      </c>
      <c r="AJ13" s="415">
        <v>399</v>
      </c>
      <c r="AK13" s="415">
        <v>398</v>
      </c>
      <c r="AL13" s="415">
        <v>395</v>
      </c>
      <c r="AM13" s="414">
        <v>394</v>
      </c>
      <c r="AN13" s="415">
        <v>391</v>
      </c>
      <c r="AO13" s="415">
        <v>386</v>
      </c>
      <c r="AP13" s="415">
        <v>384</v>
      </c>
      <c r="AQ13" s="414">
        <v>381</v>
      </c>
      <c r="AR13" s="415">
        <v>374</v>
      </c>
      <c r="AS13" s="415">
        <v>367</v>
      </c>
      <c r="AT13" s="415">
        <v>357</v>
      </c>
      <c r="AU13" s="414">
        <v>355</v>
      </c>
      <c r="AV13" s="415">
        <v>352</v>
      </c>
      <c r="AW13" s="415">
        <v>351</v>
      </c>
      <c r="AX13" s="415">
        <v>337</v>
      </c>
      <c r="AY13" s="414">
        <v>334</v>
      </c>
      <c r="AZ13" s="415">
        <v>332</v>
      </c>
      <c r="BA13" s="415">
        <v>330</v>
      </c>
      <c r="BB13" s="415">
        <v>317</v>
      </c>
      <c r="BC13" s="414">
        <v>315</v>
      </c>
      <c r="BD13" s="415">
        <v>304</v>
      </c>
      <c r="BE13" s="415">
        <v>298</v>
      </c>
      <c r="BF13" s="415">
        <v>290</v>
      </c>
    </row>
    <row r="14" spans="1:58" s="424" customFormat="1" ht="11.25">
      <c r="A14" s="509" t="s">
        <v>840</v>
      </c>
      <c r="B14" s="509" t="s">
        <v>841</v>
      </c>
      <c r="C14" s="414"/>
      <c r="D14" s="415"/>
      <c r="E14" s="415"/>
      <c r="F14" s="415"/>
      <c r="G14" s="414"/>
      <c r="H14" s="415"/>
      <c r="I14" s="415"/>
      <c r="J14" s="416"/>
      <c r="K14" s="414"/>
      <c r="L14" s="415"/>
      <c r="M14" s="415"/>
      <c r="N14" s="416"/>
      <c r="O14" s="414"/>
      <c r="P14" s="415"/>
      <c r="Q14" s="415"/>
      <c r="R14" s="416"/>
      <c r="S14" s="414"/>
      <c r="T14" s="415"/>
      <c r="U14" s="415"/>
      <c r="V14" s="416"/>
      <c r="W14" s="414"/>
      <c r="X14" s="415"/>
      <c r="Y14" s="415"/>
      <c r="Z14" s="415"/>
      <c r="AA14" s="414"/>
      <c r="AB14" s="415"/>
      <c r="AC14" s="415"/>
      <c r="AD14" s="415"/>
      <c r="AE14" s="414">
        <v>13</v>
      </c>
      <c r="AF14" s="415">
        <v>13</v>
      </c>
      <c r="AG14" s="415">
        <v>11</v>
      </c>
      <c r="AH14" s="415">
        <v>55</v>
      </c>
      <c r="AI14" s="414">
        <v>58</v>
      </c>
      <c r="AJ14" s="415">
        <v>59</v>
      </c>
      <c r="AK14" s="415">
        <v>60</v>
      </c>
      <c r="AL14" s="415">
        <v>64</v>
      </c>
      <c r="AM14" s="414">
        <v>66</v>
      </c>
      <c r="AN14" s="415">
        <v>66</v>
      </c>
      <c r="AO14" s="415">
        <v>65</v>
      </c>
      <c r="AP14" s="415">
        <v>65</v>
      </c>
      <c r="AQ14" s="414">
        <v>66</v>
      </c>
      <c r="AR14" s="415">
        <v>66</v>
      </c>
      <c r="AS14" s="415">
        <v>66</v>
      </c>
      <c r="AT14" s="415">
        <v>66</v>
      </c>
      <c r="AU14" s="414">
        <v>65</v>
      </c>
      <c r="AV14" s="415">
        <v>64</v>
      </c>
      <c r="AW14" s="415">
        <v>63</v>
      </c>
      <c r="AX14" s="415">
        <v>63</v>
      </c>
      <c r="AY14" s="414">
        <v>65</v>
      </c>
      <c r="AZ14" s="415">
        <v>65</v>
      </c>
      <c r="BA14" s="415">
        <v>65</v>
      </c>
      <c r="BB14" s="415">
        <v>65</v>
      </c>
      <c r="BC14" s="414">
        <v>62</v>
      </c>
      <c r="BD14" s="415">
        <v>62</v>
      </c>
      <c r="BE14" s="415">
        <v>63</v>
      </c>
      <c r="BF14" s="415">
        <v>63</v>
      </c>
    </row>
    <row r="15" spans="1:58" s="424" customFormat="1" ht="11.25">
      <c r="A15" s="411"/>
      <c r="B15" s="411"/>
      <c r="C15" s="414"/>
      <c r="D15" s="415"/>
      <c r="E15" s="415"/>
      <c r="F15" s="415"/>
      <c r="G15" s="414"/>
      <c r="H15" s="415"/>
      <c r="I15" s="415"/>
      <c r="J15" s="416"/>
      <c r="K15" s="414"/>
      <c r="L15" s="415"/>
      <c r="M15" s="415"/>
      <c r="N15" s="416"/>
      <c r="O15" s="414"/>
      <c r="P15" s="415"/>
      <c r="Q15" s="415"/>
      <c r="R15" s="416"/>
      <c r="S15" s="414"/>
      <c r="T15" s="415"/>
      <c r="U15" s="415"/>
      <c r="V15" s="416"/>
      <c r="W15" s="414"/>
      <c r="X15" s="415"/>
      <c r="Y15" s="415"/>
      <c r="Z15" s="415"/>
      <c r="AA15" s="414"/>
      <c r="AB15" s="415"/>
      <c r="AC15" s="415"/>
      <c r="AD15" s="415"/>
      <c r="AE15" s="414"/>
      <c r="AF15" s="415"/>
      <c r="AG15" s="415"/>
      <c r="AH15" s="415"/>
      <c r="AI15" s="414"/>
      <c r="AJ15" s="415"/>
      <c r="AK15" s="415"/>
      <c r="AL15" s="415"/>
      <c r="AM15" s="414"/>
      <c r="AN15" s="415"/>
      <c r="AO15" s="415"/>
      <c r="AP15" s="415"/>
      <c r="AQ15" s="414"/>
      <c r="AR15" s="415"/>
      <c r="AS15" s="415"/>
      <c r="AT15" s="415"/>
      <c r="AU15" s="414"/>
      <c r="AV15" s="415"/>
      <c r="AW15" s="415"/>
      <c r="AX15" s="415"/>
      <c r="AY15" s="414"/>
      <c r="AZ15" s="415"/>
      <c r="BA15" s="415"/>
      <c r="BB15" s="415"/>
      <c r="BC15" s="414"/>
      <c r="BD15" s="415"/>
      <c r="BE15" s="415"/>
      <c r="BF15" s="415"/>
    </row>
    <row r="16" spans="1:58" s="424" customFormat="1" ht="11.25">
      <c r="A16" s="509" t="s">
        <v>288</v>
      </c>
      <c r="B16" s="509" t="s">
        <v>131</v>
      </c>
      <c r="C16" s="414"/>
      <c r="D16" s="415"/>
      <c r="E16" s="415"/>
      <c r="F16" s="415"/>
      <c r="G16" s="414"/>
      <c r="H16" s="415"/>
      <c r="I16" s="415"/>
      <c r="J16" s="416"/>
      <c r="K16" s="414"/>
      <c r="L16" s="415"/>
      <c r="M16" s="415"/>
      <c r="N16" s="416"/>
      <c r="O16" s="414"/>
      <c r="P16" s="415"/>
      <c r="Q16" s="415"/>
      <c r="R16" s="416"/>
      <c r="S16" s="414"/>
      <c r="T16" s="415"/>
      <c r="U16" s="415"/>
      <c r="V16" s="416"/>
      <c r="W16" s="414"/>
      <c r="X16" s="415"/>
      <c r="Y16" s="415"/>
      <c r="Z16" s="415"/>
      <c r="AA16" s="414"/>
      <c r="AB16" s="415"/>
      <c r="AC16" s="415"/>
      <c r="AD16" s="415"/>
      <c r="AE16" s="414"/>
      <c r="AF16" s="415"/>
      <c r="AG16" s="415"/>
      <c r="AH16" s="415"/>
      <c r="AI16" s="414"/>
      <c r="AJ16" s="415"/>
      <c r="AK16" s="415"/>
      <c r="AL16" s="415"/>
      <c r="AM16" s="414"/>
      <c r="AN16" s="415"/>
      <c r="AO16" s="415"/>
      <c r="AP16" s="415"/>
      <c r="AQ16" s="414"/>
      <c r="AR16" s="415"/>
      <c r="AS16" s="415"/>
      <c r="AT16" s="415"/>
      <c r="AU16" s="414"/>
      <c r="AV16" s="415"/>
      <c r="AW16" s="415"/>
      <c r="AX16" s="415"/>
      <c r="AY16" s="414"/>
      <c r="AZ16" s="415"/>
      <c r="BA16" s="415"/>
      <c r="BB16" s="415"/>
      <c r="BC16" s="414"/>
      <c r="BD16" s="415"/>
      <c r="BE16" s="415"/>
      <c r="BF16" s="415"/>
    </row>
    <row r="17" spans="1:58" s="424" customFormat="1" ht="11.25">
      <c r="A17" s="411" t="s">
        <v>289</v>
      </c>
      <c r="B17" s="411" t="s">
        <v>130</v>
      </c>
      <c r="C17" s="414">
        <f>SUM(C18:C20)</f>
        <v>1572</v>
      </c>
      <c r="D17" s="415">
        <f t="shared" ref="D17:X17" si="0">SUM(D18:D20)</f>
        <v>1619</v>
      </c>
      <c r="E17" s="415">
        <f t="shared" si="0"/>
        <v>1688</v>
      </c>
      <c r="F17" s="415">
        <f t="shared" si="0"/>
        <v>1777</v>
      </c>
      <c r="G17" s="414">
        <f t="shared" si="0"/>
        <v>1825</v>
      </c>
      <c r="H17" s="415">
        <f t="shared" si="0"/>
        <v>1904</v>
      </c>
      <c r="I17" s="415">
        <f t="shared" si="0"/>
        <v>1983</v>
      </c>
      <c r="J17" s="416">
        <f t="shared" si="0"/>
        <v>2003</v>
      </c>
      <c r="K17" s="414">
        <f t="shared" si="0"/>
        <v>2033</v>
      </c>
      <c r="L17" s="415">
        <f t="shared" si="0"/>
        <v>2056</v>
      </c>
      <c r="M17" s="415">
        <f t="shared" si="0"/>
        <v>2086</v>
      </c>
      <c r="N17" s="416">
        <f t="shared" si="0"/>
        <v>2082</v>
      </c>
      <c r="O17" s="414">
        <f t="shared" si="0"/>
        <v>2122</v>
      </c>
      <c r="P17" s="415">
        <f t="shared" si="0"/>
        <v>2166</v>
      </c>
      <c r="Q17" s="415">
        <f t="shared" si="0"/>
        <v>2226</v>
      </c>
      <c r="R17" s="416">
        <f t="shared" si="0"/>
        <v>2267</v>
      </c>
      <c r="S17" s="414">
        <f t="shared" si="0"/>
        <v>2300</v>
      </c>
      <c r="T17" s="415">
        <f t="shared" si="0"/>
        <v>2350</v>
      </c>
      <c r="U17" s="415">
        <f t="shared" si="0"/>
        <v>2375</v>
      </c>
      <c r="V17" s="416">
        <f t="shared" si="0"/>
        <v>2386</v>
      </c>
      <c r="W17" s="414">
        <f t="shared" si="0"/>
        <v>2405</v>
      </c>
      <c r="X17" s="415">
        <f t="shared" si="0"/>
        <v>2413</v>
      </c>
      <c r="Y17" s="415">
        <f>SUM(Y18:Y20)</f>
        <v>2456</v>
      </c>
      <c r="Z17" s="415">
        <f>SUM(Z18:Z20)</f>
        <v>2437</v>
      </c>
      <c r="AA17" s="414">
        <f>SUM(AA18:AA20)</f>
        <v>2447</v>
      </c>
      <c r="AB17" s="415">
        <f>SUM(AB18:AB20)</f>
        <v>2690</v>
      </c>
      <c r="AC17" s="415">
        <f>SUM(AC18:AC20)</f>
        <v>2820</v>
      </c>
      <c r="AD17" s="415">
        <v>2562</v>
      </c>
      <c r="AE17" s="414">
        <v>2568</v>
      </c>
      <c r="AF17" s="415">
        <v>2606</v>
      </c>
      <c r="AG17" s="415">
        <v>2667</v>
      </c>
      <c r="AH17" s="415">
        <v>2731</v>
      </c>
      <c r="AI17" s="414">
        <v>2806</v>
      </c>
      <c r="AJ17" s="415">
        <v>2877</v>
      </c>
      <c r="AK17" s="415">
        <v>2949</v>
      </c>
      <c r="AL17" s="415">
        <v>3003</v>
      </c>
      <c r="AM17" s="414">
        <v>3038</v>
      </c>
      <c r="AN17" s="415">
        <v>3093</v>
      </c>
      <c r="AO17" s="415">
        <v>3140</v>
      </c>
      <c r="AP17" s="415">
        <f t="shared" ref="AP17:AU17" si="1">AP18+AP19+AP20</f>
        <v>3160</v>
      </c>
      <c r="AQ17" s="414">
        <f t="shared" si="1"/>
        <v>2830</v>
      </c>
      <c r="AR17" s="415">
        <f t="shared" si="1"/>
        <v>2882</v>
      </c>
      <c r="AS17" s="415">
        <f t="shared" si="1"/>
        <v>2943</v>
      </c>
      <c r="AT17" s="415">
        <f t="shared" si="1"/>
        <v>3021</v>
      </c>
      <c r="AU17" s="414">
        <f t="shared" si="1"/>
        <v>3047</v>
      </c>
      <c r="AV17" s="415">
        <f>AV18+AV19+AV20</f>
        <v>2931</v>
      </c>
      <c r="AW17" s="415">
        <f>AW18+AW19+AW20</f>
        <v>3182</v>
      </c>
      <c r="AX17" s="415">
        <f>AX18+AX19+AX20</f>
        <v>3194</v>
      </c>
      <c r="AY17" s="414">
        <f t="shared" ref="AY17:AZ17" si="2">AY18+AY19+AY20</f>
        <v>3291</v>
      </c>
      <c r="AZ17" s="415">
        <f t="shared" si="2"/>
        <v>3373</v>
      </c>
      <c r="BA17" s="415">
        <f t="shared" ref="BA17:BC17" si="3">BA18+BA19+BA20</f>
        <v>3431</v>
      </c>
      <c r="BB17" s="415">
        <f t="shared" si="3"/>
        <v>3477</v>
      </c>
      <c r="BC17" s="414">
        <f t="shared" si="3"/>
        <v>3547</v>
      </c>
      <c r="BD17" s="415">
        <f t="shared" ref="BD17:BF17" si="4">BD18+BD19+BD20</f>
        <v>3586</v>
      </c>
      <c r="BE17" s="415">
        <f t="shared" si="4"/>
        <v>3642</v>
      </c>
      <c r="BF17" s="415">
        <f t="shared" si="4"/>
        <v>3688</v>
      </c>
    </row>
    <row r="18" spans="1:58" s="424" customFormat="1" ht="11.25">
      <c r="A18" s="411" t="s">
        <v>290</v>
      </c>
      <c r="B18" s="411" t="s">
        <v>354</v>
      </c>
      <c r="C18" s="414">
        <v>1264</v>
      </c>
      <c r="D18" s="415">
        <v>1301</v>
      </c>
      <c r="E18" s="415">
        <v>1334</v>
      </c>
      <c r="F18" s="415">
        <v>1397</v>
      </c>
      <c r="G18" s="414">
        <v>1441</v>
      </c>
      <c r="H18" s="415">
        <v>1509</v>
      </c>
      <c r="I18" s="415">
        <v>1583</v>
      </c>
      <c r="J18" s="416">
        <v>1625</v>
      </c>
      <c r="K18" s="414">
        <v>1671</v>
      </c>
      <c r="L18" s="415">
        <v>1703</v>
      </c>
      <c r="M18" s="415">
        <v>1746</v>
      </c>
      <c r="N18" s="416">
        <v>1758</v>
      </c>
      <c r="O18" s="414">
        <v>1809</v>
      </c>
      <c r="P18" s="415">
        <v>1861</v>
      </c>
      <c r="Q18" s="415">
        <v>1934</v>
      </c>
      <c r="R18" s="416">
        <v>1987</v>
      </c>
      <c r="S18" s="414">
        <v>2020</v>
      </c>
      <c r="T18" s="415">
        <v>2075</v>
      </c>
      <c r="U18" s="415">
        <v>2102</v>
      </c>
      <c r="V18" s="416">
        <v>2116</v>
      </c>
      <c r="W18" s="414">
        <v>2132</v>
      </c>
      <c r="X18" s="415">
        <v>2144</v>
      </c>
      <c r="Y18" s="415">
        <v>2188</v>
      </c>
      <c r="Z18" s="415">
        <v>2144</v>
      </c>
      <c r="AA18" s="414">
        <v>2155</v>
      </c>
      <c r="AB18" s="415">
        <v>2401</v>
      </c>
      <c r="AC18" s="415">
        <v>2532</v>
      </c>
      <c r="AD18" s="415">
        <v>2271</v>
      </c>
      <c r="AE18" s="414">
        <v>2277</v>
      </c>
      <c r="AF18" s="415">
        <v>2311</v>
      </c>
      <c r="AG18" s="415">
        <v>2369</v>
      </c>
      <c r="AH18" s="415">
        <v>2431</v>
      </c>
      <c r="AI18" s="414">
        <v>2501</v>
      </c>
      <c r="AJ18" s="415">
        <v>2567</v>
      </c>
      <c r="AK18" s="415">
        <v>2636</v>
      </c>
      <c r="AL18" s="415">
        <v>2685</v>
      </c>
      <c r="AM18" s="414">
        <v>2722</v>
      </c>
      <c r="AN18" s="415">
        <v>2775</v>
      </c>
      <c r="AO18" s="415">
        <v>2818</v>
      </c>
      <c r="AP18" s="415">
        <v>2832</v>
      </c>
      <c r="AQ18" s="414">
        <v>2502</v>
      </c>
      <c r="AR18" s="415">
        <v>2548</v>
      </c>
      <c r="AS18" s="415">
        <v>2600</v>
      </c>
      <c r="AT18" s="415">
        <v>2674</v>
      </c>
      <c r="AU18" s="414">
        <v>2692</v>
      </c>
      <c r="AV18" s="415">
        <v>2550</v>
      </c>
      <c r="AW18" s="415">
        <v>2788</v>
      </c>
      <c r="AX18" s="415">
        <v>2795</v>
      </c>
      <c r="AY18" s="414">
        <v>2887</v>
      </c>
      <c r="AZ18" s="415">
        <v>2959</v>
      </c>
      <c r="BA18" s="415">
        <v>3008</v>
      </c>
      <c r="BB18" s="415">
        <v>3050</v>
      </c>
      <c r="BC18" s="414">
        <v>3125</v>
      </c>
      <c r="BD18" s="415">
        <v>3155</v>
      </c>
      <c r="BE18" s="415">
        <v>3205</v>
      </c>
      <c r="BF18" s="415">
        <v>3243</v>
      </c>
    </row>
    <row r="19" spans="1:58" s="424" customFormat="1" ht="11.25">
      <c r="A19" s="411" t="s">
        <v>291</v>
      </c>
      <c r="B19" s="411" t="s">
        <v>355</v>
      </c>
      <c r="C19" s="414">
        <v>153</v>
      </c>
      <c r="D19" s="415">
        <v>185</v>
      </c>
      <c r="E19" s="415">
        <v>220</v>
      </c>
      <c r="F19" s="415">
        <v>261</v>
      </c>
      <c r="G19" s="414">
        <v>267</v>
      </c>
      <c r="H19" s="415">
        <v>274</v>
      </c>
      <c r="I19" s="415">
        <v>277</v>
      </c>
      <c r="J19" s="416">
        <v>278</v>
      </c>
      <c r="K19" s="414">
        <v>273</v>
      </c>
      <c r="L19" s="415">
        <v>265</v>
      </c>
      <c r="M19" s="415">
        <v>259</v>
      </c>
      <c r="N19" s="416">
        <v>254</v>
      </c>
      <c r="O19" s="414">
        <v>246</v>
      </c>
      <c r="P19" s="415">
        <v>248</v>
      </c>
      <c r="Q19" s="415">
        <v>237</v>
      </c>
      <c r="R19" s="416">
        <v>231</v>
      </c>
      <c r="S19" s="414">
        <v>226</v>
      </c>
      <c r="T19" s="415">
        <v>221</v>
      </c>
      <c r="U19" s="415">
        <v>216</v>
      </c>
      <c r="V19" s="416">
        <v>211</v>
      </c>
      <c r="W19" s="414">
        <v>211</v>
      </c>
      <c r="X19" s="415">
        <v>205</v>
      </c>
      <c r="Y19" s="415">
        <v>202</v>
      </c>
      <c r="Z19" s="415">
        <v>201</v>
      </c>
      <c r="AA19" s="414">
        <v>199</v>
      </c>
      <c r="AB19" s="415">
        <v>199</v>
      </c>
      <c r="AC19" s="415">
        <v>200</v>
      </c>
      <c r="AD19" s="415">
        <v>200</v>
      </c>
      <c r="AE19" s="414">
        <v>200</v>
      </c>
      <c r="AF19" s="415">
        <v>203</v>
      </c>
      <c r="AG19" s="415">
        <v>205</v>
      </c>
      <c r="AH19" s="415">
        <v>206</v>
      </c>
      <c r="AI19" s="414">
        <v>206</v>
      </c>
      <c r="AJ19" s="415">
        <v>208</v>
      </c>
      <c r="AK19" s="415">
        <v>210</v>
      </c>
      <c r="AL19" s="415">
        <v>211</v>
      </c>
      <c r="AM19" s="414">
        <v>212</v>
      </c>
      <c r="AN19" s="415">
        <v>214</v>
      </c>
      <c r="AO19" s="415">
        <v>217</v>
      </c>
      <c r="AP19" s="415">
        <v>218</v>
      </c>
      <c r="AQ19" s="414">
        <v>219</v>
      </c>
      <c r="AR19" s="415">
        <v>221</v>
      </c>
      <c r="AS19" s="415">
        <v>224</v>
      </c>
      <c r="AT19" s="415">
        <v>224</v>
      </c>
      <c r="AU19" s="414">
        <v>227</v>
      </c>
      <c r="AV19" s="415">
        <v>248</v>
      </c>
      <c r="AW19" s="415">
        <v>254</v>
      </c>
      <c r="AX19" s="415">
        <v>254</v>
      </c>
      <c r="AY19" s="414">
        <v>253</v>
      </c>
      <c r="AZ19" s="415">
        <v>259</v>
      </c>
      <c r="BA19" s="415">
        <v>266</v>
      </c>
      <c r="BB19" s="415">
        <v>271</v>
      </c>
      <c r="BC19" s="414">
        <v>264</v>
      </c>
      <c r="BD19" s="415">
        <v>272</v>
      </c>
      <c r="BE19" s="415">
        <v>275</v>
      </c>
      <c r="BF19" s="415">
        <v>278</v>
      </c>
    </row>
    <row r="20" spans="1:58" s="424" customFormat="1" ht="11.25">
      <c r="A20" s="411" t="s">
        <v>292</v>
      </c>
      <c r="B20" s="411" t="s">
        <v>356</v>
      </c>
      <c r="C20" s="414">
        <v>155</v>
      </c>
      <c r="D20" s="415">
        <v>133</v>
      </c>
      <c r="E20" s="415">
        <v>134</v>
      </c>
      <c r="F20" s="415">
        <v>119</v>
      </c>
      <c r="G20" s="414">
        <v>117</v>
      </c>
      <c r="H20" s="415">
        <v>121</v>
      </c>
      <c r="I20" s="415">
        <v>123</v>
      </c>
      <c r="J20" s="416">
        <v>100</v>
      </c>
      <c r="K20" s="414">
        <v>89</v>
      </c>
      <c r="L20" s="415">
        <v>88</v>
      </c>
      <c r="M20" s="415">
        <v>81</v>
      </c>
      <c r="N20" s="416">
        <v>70</v>
      </c>
      <c r="O20" s="414">
        <v>67</v>
      </c>
      <c r="P20" s="415">
        <v>57</v>
      </c>
      <c r="Q20" s="415">
        <v>55</v>
      </c>
      <c r="R20" s="416">
        <v>49</v>
      </c>
      <c r="S20" s="414">
        <v>54</v>
      </c>
      <c r="T20" s="415">
        <v>54</v>
      </c>
      <c r="U20" s="415">
        <v>57</v>
      </c>
      <c r="V20" s="416">
        <v>59</v>
      </c>
      <c r="W20" s="414">
        <v>62</v>
      </c>
      <c r="X20" s="415">
        <v>64</v>
      </c>
      <c r="Y20" s="415">
        <v>66</v>
      </c>
      <c r="Z20" s="415">
        <v>92</v>
      </c>
      <c r="AA20" s="414">
        <v>93</v>
      </c>
      <c r="AB20" s="415">
        <v>90</v>
      </c>
      <c r="AC20" s="415">
        <v>88</v>
      </c>
      <c r="AD20" s="415">
        <v>91</v>
      </c>
      <c r="AE20" s="414">
        <v>91</v>
      </c>
      <c r="AF20" s="415">
        <v>92</v>
      </c>
      <c r="AG20" s="415">
        <v>93</v>
      </c>
      <c r="AH20" s="415">
        <v>94</v>
      </c>
      <c r="AI20" s="414">
        <v>99</v>
      </c>
      <c r="AJ20" s="415">
        <v>102</v>
      </c>
      <c r="AK20" s="415">
        <v>103</v>
      </c>
      <c r="AL20" s="415">
        <v>107</v>
      </c>
      <c r="AM20" s="414">
        <v>104</v>
      </c>
      <c r="AN20" s="415">
        <v>104</v>
      </c>
      <c r="AO20" s="415">
        <v>105</v>
      </c>
      <c r="AP20" s="415">
        <v>110</v>
      </c>
      <c r="AQ20" s="414">
        <v>109</v>
      </c>
      <c r="AR20" s="415">
        <v>113</v>
      </c>
      <c r="AS20" s="415">
        <v>119</v>
      </c>
      <c r="AT20" s="415">
        <v>123</v>
      </c>
      <c r="AU20" s="414">
        <v>128</v>
      </c>
      <c r="AV20" s="415">
        <v>133</v>
      </c>
      <c r="AW20" s="415">
        <v>140</v>
      </c>
      <c r="AX20" s="415">
        <v>145</v>
      </c>
      <c r="AY20" s="414">
        <v>151</v>
      </c>
      <c r="AZ20" s="415">
        <v>155</v>
      </c>
      <c r="BA20" s="415">
        <v>157</v>
      </c>
      <c r="BB20" s="415">
        <v>156</v>
      </c>
      <c r="BC20" s="414">
        <v>158</v>
      </c>
      <c r="BD20" s="415">
        <v>159</v>
      </c>
      <c r="BE20" s="415">
        <v>162</v>
      </c>
      <c r="BF20" s="415">
        <v>167</v>
      </c>
    </row>
    <row r="21" spans="1:58" s="424" customFormat="1" ht="11.25">
      <c r="A21" s="509"/>
      <c r="B21" s="509"/>
      <c r="C21" s="414"/>
      <c r="D21" s="415"/>
      <c r="E21" s="415"/>
      <c r="F21" s="415"/>
      <c r="G21" s="414"/>
      <c r="H21" s="415"/>
      <c r="I21" s="415"/>
      <c r="J21" s="416"/>
      <c r="K21" s="414"/>
      <c r="L21" s="415"/>
      <c r="M21" s="415"/>
      <c r="N21" s="416"/>
      <c r="O21" s="414"/>
      <c r="P21" s="415"/>
      <c r="Q21" s="415"/>
      <c r="R21" s="416"/>
      <c r="S21" s="414"/>
      <c r="T21" s="415"/>
      <c r="U21" s="415"/>
      <c r="V21" s="416"/>
      <c r="W21" s="414"/>
      <c r="X21" s="415"/>
      <c r="Y21" s="415"/>
      <c r="Z21" s="415"/>
      <c r="AA21" s="414"/>
      <c r="AB21" s="415"/>
      <c r="AC21" s="415"/>
      <c r="AD21" s="415"/>
      <c r="AE21" s="414"/>
      <c r="AF21" s="415"/>
      <c r="AG21" s="415"/>
      <c r="AH21" s="415"/>
      <c r="AI21" s="414"/>
      <c r="AJ21" s="415"/>
      <c r="AK21" s="415"/>
      <c r="AL21" s="415"/>
      <c r="AM21" s="414"/>
      <c r="AN21" s="415"/>
      <c r="AO21" s="415"/>
      <c r="AP21" s="415"/>
      <c r="AQ21" s="414"/>
      <c r="AR21" s="415"/>
      <c r="AS21" s="415"/>
      <c r="AT21" s="415"/>
      <c r="AU21" s="414"/>
      <c r="AV21" s="415"/>
      <c r="AW21" s="415"/>
      <c r="AX21" s="415"/>
      <c r="AY21" s="414"/>
      <c r="AZ21" s="415"/>
      <c r="BA21" s="415"/>
      <c r="BB21" s="415"/>
      <c r="BC21" s="414"/>
      <c r="BD21" s="415"/>
      <c r="BE21" s="415"/>
      <c r="BF21" s="415"/>
    </row>
    <row r="22" spans="1:58" s="424" customFormat="1" ht="11.25">
      <c r="A22" s="509" t="s">
        <v>899</v>
      </c>
      <c r="B22" s="509" t="s">
        <v>897</v>
      </c>
      <c r="C22" s="414"/>
      <c r="D22" s="415"/>
      <c r="E22" s="415"/>
      <c r="F22" s="415"/>
      <c r="G22" s="414"/>
      <c r="H22" s="415"/>
      <c r="I22" s="415"/>
      <c r="J22" s="416"/>
      <c r="K22" s="414"/>
      <c r="L22" s="415"/>
      <c r="M22" s="415"/>
      <c r="N22" s="416"/>
      <c r="O22" s="414"/>
      <c r="P22" s="415"/>
      <c r="Q22" s="415"/>
      <c r="R22" s="416"/>
      <c r="S22" s="414"/>
      <c r="T22" s="415"/>
      <c r="U22" s="415"/>
      <c r="V22" s="415"/>
      <c r="W22" s="414"/>
      <c r="X22" s="415"/>
      <c r="Y22" s="415"/>
      <c r="Z22" s="415"/>
      <c r="AA22" s="414">
        <v>425.8</v>
      </c>
      <c r="AB22" s="415">
        <v>554.29999999999995</v>
      </c>
      <c r="AC22" s="415">
        <v>575.79999999999995</v>
      </c>
      <c r="AD22" s="415">
        <v>483.8</v>
      </c>
      <c r="AE22" s="414">
        <v>581.1</v>
      </c>
      <c r="AF22" s="415">
        <v>741.7</v>
      </c>
      <c r="AG22" s="415">
        <v>729.9</v>
      </c>
      <c r="AH22" s="415">
        <v>632.79999999999995</v>
      </c>
      <c r="AI22" s="414">
        <v>663.3</v>
      </c>
      <c r="AJ22" s="415">
        <v>785.3</v>
      </c>
      <c r="AK22" s="415">
        <v>793</v>
      </c>
      <c r="AL22" s="415">
        <v>792.1</v>
      </c>
      <c r="AM22" s="414">
        <v>927.9</v>
      </c>
      <c r="AN22" s="415">
        <v>1168</v>
      </c>
      <c r="AO22" s="415">
        <v>960.2</v>
      </c>
      <c r="AP22" s="415">
        <v>815.3</v>
      </c>
      <c r="AQ22" s="414">
        <v>994.8</v>
      </c>
      <c r="AR22" s="415">
        <v>1090.8</v>
      </c>
      <c r="AS22" s="415">
        <v>998.5</v>
      </c>
      <c r="AT22" s="415">
        <v>1184.0999999999999</v>
      </c>
      <c r="AU22" s="414">
        <v>1189</v>
      </c>
      <c r="AV22" s="415">
        <v>1389.1</v>
      </c>
      <c r="AW22" s="415">
        <v>1242.9000000000001</v>
      </c>
      <c r="AX22" s="415">
        <v>1336.1</v>
      </c>
      <c r="AY22" s="414">
        <v>1066.2</v>
      </c>
      <c r="AZ22" s="415">
        <v>1087.3</v>
      </c>
      <c r="BA22" s="415">
        <v>1004</v>
      </c>
      <c r="BB22" s="415">
        <v>907.4</v>
      </c>
      <c r="BC22" s="414">
        <v>1013.3</v>
      </c>
      <c r="BD22" s="415">
        <v>515.1</v>
      </c>
      <c r="BE22" s="415">
        <v>731.6</v>
      </c>
      <c r="BF22" s="415">
        <v>833.7</v>
      </c>
    </row>
    <row r="23" spans="1:58" s="424" customFormat="1" ht="11.25">
      <c r="A23" s="509" t="s">
        <v>900</v>
      </c>
      <c r="B23" s="509" t="s">
        <v>898</v>
      </c>
      <c r="C23" s="414"/>
      <c r="D23" s="415"/>
      <c r="E23" s="415"/>
      <c r="F23" s="415"/>
      <c r="G23" s="414"/>
      <c r="H23" s="415"/>
      <c r="I23" s="415"/>
      <c r="J23" s="416"/>
      <c r="K23" s="414"/>
      <c r="L23" s="415"/>
      <c r="M23" s="415"/>
      <c r="N23" s="416"/>
      <c r="O23" s="414"/>
      <c r="P23" s="415"/>
      <c r="Q23" s="415"/>
      <c r="R23" s="416"/>
      <c r="S23" s="414"/>
      <c r="T23" s="415"/>
      <c r="U23" s="415"/>
      <c r="V23" s="415"/>
      <c r="W23" s="414"/>
      <c r="X23" s="415"/>
      <c r="Y23" s="415"/>
      <c r="Z23" s="415"/>
      <c r="AA23" s="414">
        <v>588.5</v>
      </c>
      <c r="AB23" s="415">
        <v>882.4</v>
      </c>
      <c r="AC23" s="415">
        <v>785.3</v>
      </c>
      <c r="AD23" s="415">
        <v>442.2</v>
      </c>
      <c r="AE23" s="414">
        <v>692</v>
      </c>
      <c r="AF23" s="415">
        <v>914.4</v>
      </c>
      <c r="AG23" s="415">
        <v>1277.5</v>
      </c>
      <c r="AH23" s="415">
        <v>1361.2</v>
      </c>
      <c r="AI23" s="414">
        <v>1475.4</v>
      </c>
      <c r="AJ23" s="415">
        <v>1487.2</v>
      </c>
      <c r="AK23" s="415">
        <v>1096.5999999999999</v>
      </c>
      <c r="AL23" s="415">
        <v>1178.5</v>
      </c>
      <c r="AM23" s="414">
        <v>1573.7</v>
      </c>
      <c r="AN23" s="415">
        <v>1680.6</v>
      </c>
      <c r="AO23" s="415">
        <v>1052.9000000000001</v>
      </c>
      <c r="AP23" s="415">
        <v>1388.6</v>
      </c>
      <c r="AQ23" s="414">
        <v>1285</v>
      </c>
      <c r="AR23" s="415">
        <v>1602</v>
      </c>
      <c r="AS23" s="415">
        <v>1655.3</v>
      </c>
      <c r="AT23" s="415">
        <v>2148.5</v>
      </c>
      <c r="AU23" s="414">
        <v>2174</v>
      </c>
      <c r="AV23" s="415">
        <v>2301.6999999999998</v>
      </c>
      <c r="AW23" s="415">
        <v>2100.3000000000002</v>
      </c>
      <c r="AX23" s="415">
        <v>1946.3</v>
      </c>
      <c r="AY23" s="414">
        <v>2102.9</v>
      </c>
      <c r="AZ23" s="415">
        <v>2950.8</v>
      </c>
      <c r="BA23" s="415">
        <v>3127.5</v>
      </c>
      <c r="BB23" s="415">
        <v>3211.5</v>
      </c>
      <c r="BC23" s="414">
        <v>3617.2</v>
      </c>
      <c r="BD23" s="415">
        <v>2381.1</v>
      </c>
      <c r="BE23" s="415">
        <v>1680.5</v>
      </c>
      <c r="BF23" s="415">
        <v>3680.3</v>
      </c>
    </row>
    <row r="24" spans="1:58" s="424" customFormat="1" ht="11.25">
      <c r="A24" s="509"/>
      <c r="B24" s="509"/>
      <c r="C24" s="414"/>
      <c r="D24" s="415"/>
      <c r="E24" s="415"/>
      <c r="F24" s="415"/>
      <c r="G24" s="414"/>
      <c r="H24" s="415"/>
      <c r="I24" s="415"/>
      <c r="J24" s="416"/>
      <c r="K24" s="414"/>
      <c r="L24" s="415"/>
      <c r="M24" s="415"/>
      <c r="N24" s="416"/>
      <c r="O24" s="414"/>
      <c r="P24" s="415"/>
      <c r="Q24" s="415"/>
      <c r="R24" s="416"/>
      <c r="S24" s="414"/>
      <c r="T24" s="415"/>
      <c r="U24" s="415"/>
      <c r="V24" s="416"/>
      <c r="W24" s="414"/>
      <c r="X24" s="415"/>
      <c r="Y24" s="415"/>
      <c r="Z24" s="415"/>
      <c r="AA24" s="414"/>
      <c r="AB24" s="415"/>
      <c r="AC24" s="415"/>
      <c r="AD24" s="415"/>
      <c r="AE24" s="414"/>
      <c r="AF24" s="415"/>
      <c r="AG24" s="415"/>
      <c r="AH24" s="415"/>
      <c r="AI24" s="414"/>
      <c r="AJ24" s="415"/>
      <c r="AK24" s="415"/>
      <c r="AL24" s="415"/>
      <c r="AM24" s="414"/>
      <c r="AN24" s="415"/>
      <c r="AO24" s="415"/>
      <c r="AP24" s="415"/>
      <c r="AQ24" s="414"/>
      <c r="AR24" s="415"/>
      <c r="AS24" s="415"/>
      <c r="AT24" s="415"/>
      <c r="AU24" s="414"/>
      <c r="AV24" s="415"/>
      <c r="AW24" s="415"/>
      <c r="AX24" s="415"/>
      <c r="AY24" s="414"/>
      <c r="AZ24" s="415"/>
      <c r="BA24" s="415"/>
      <c r="BB24" s="415"/>
      <c r="BC24" s="414"/>
      <c r="BD24" s="415"/>
      <c r="BE24" s="415"/>
      <c r="BF24" s="415"/>
    </row>
    <row r="25" spans="1:58" s="424" customFormat="1" ht="11.25">
      <c r="A25" s="530" t="s">
        <v>960</v>
      </c>
      <c r="B25" s="530" t="s">
        <v>961</v>
      </c>
      <c r="C25" s="414"/>
      <c r="D25" s="415"/>
      <c r="E25" s="415"/>
      <c r="F25" s="415"/>
      <c r="G25" s="414"/>
      <c r="H25" s="415"/>
      <c r="I25" s="415"/>
      <c r="J25" s="416"/>
      <c r="K25" s="414"/>
      <c r="L25" s="415"/>
      <c r="M25" s="415"/>
      <c r="N25" s="416"/>
      <c r="O25" s="414"/>
      <c r="P25" s="415"/>
      <c r="Q25" s="415"/>
      <c r="R25" s="416"/>
      <c r="S25" s="414"/>
      <c r="T25" s="415"/>
      <c r="U25" s="415"/>
      <c r="V25" s="416"/>
      <c r="W25" s="414"/>
      <c r="X25" s="415"/>
      <c r="Y25" s="415"/>
      <c r="Z25" s="415"/>
      <c r="AA25" s="414">
        <v>2582.8000000000002</v>
      </c>
      <c r="AB25" s="415">
        <v>3001.2</v>
      </c>
      <c r="AC25" s="415">
        <v>3526.7</v>
      </c>
      <c r="AD25" s="415">
        <v>3762.7</v>
      </c>
      <c r="AE25" s="414">
        <v>3412.2</v>
      </c>
      <c r="AF25" s="415">
        <v>4119.3</v>
      </c>
      <c r="AG25" s="415">
        <v>4592.5</v>
      </c>
      <c r="AH25" s="415">
        <v>4752.5</v>
      </c>
      <c r="AI25" s="414">
        <v>4295.2</v>
      </c>
      <c r="AJ25" s="415">
        <v>4373.3999999999996</v>
      </c>
      <c r="AK25" s="415">
        <v>4766.7</v>
      </c>
      <c r="AL25" s="415">
        <v>5475.4</v>
      </c>
      <c r="AM25" s="414">
        <v>5114.6000000000004</v>
      </c>
      <c r="AN25" s="415">
        <v>6421.9</v>
      </c>
      <c r="AO25" s="415">
        <v>6337.3</v>
      </c>
      <c r="AP25" s="415">
        <v>6482.2</v>
      </c>
      <c r="AQ25" s="414">
        <v>6265</v>
      </c>
      <c r="AR25" s="415">
        <v>6322</v>
      </c>
      <c r="AS25" s="415">
        <v>7026</v>
      </c>
      <c r="AT25" s="415">
        <v>8176</v>
      </c>
      <c r="AU25" s="414">
        <v>7336</v>
      </c>
      <c r="AV25" s="415">
        <v>7480</v>
      </c>
      <c r="AW25" s="415">
        <v>7570</v>
      </c>
      <c r="AX25" s="415">
        <v>9152</v>
      </c>
      <c r="AY25" s="414">
        <v>8110</v>
      </c>
      <c r="AZ25" s="415">
        <v>8704.4</v>
      </c>
      <c r="BA25" s="415">
        <v>9143.6</v>
      </c>
      <c r="BB25" s="415">
        <v>9689.2000000000007</v>
      </c>
      <c r="BC25" s="414">
        <v>8902</v>
      </c>
      <c r="BD25" s="415">
        <v>8073.2</v>
      </c>
      <c r="BE25" s="415">
        <v>9448.7999999999993</v>
      </c>
      <c r="BF25" s="415">
        <v>10542</v>
      </c>
    </row>
    <row r="26" spans="1:58" s="424" customFormat="1" ht="11.25">
      <c r="A26" s="509" t="s">
        <v>962</v>
      </c>
      <c r="B26" s="509" t="s">
        <v>963</v>
      </c>
      <c r="C26" s="414"/>
      <c r="D26" s="415"/>
      <c r="E26" s="415"/>
      <c r="F26" s="415"/>
      <c r="G26" s="414"/>
      <c r="H26" s="415"/>
      <c r="I26" s="415"/>
      <c r="J26" s="416"/>
      <c r="K26" s="414"/>
      <c r="L26" s="415"/>
      <c r="M26" s="415"/>
      <c r="N26" s="416"/>
      <c r="O26" s="414"/>
      <c r="P26" s="415"/>
      <c r="Q26" s="415"/>
      <c r="R26" s="416"/>
      <c r="S26" s="414"/>
      <c r="T26" s="415"/>
      <c r="U26" s="415"/>
      <c r="V26" s="416"/>
      <c r="W26" s="414"/>
      <c r="X26" s="415"/>
      <c r="Y26" s="415"/>
      <c r="Z26" s="415"/>
      <c r="AA26" s="414">
        <v>278.8</v>
      </c>
      <c r="AB26" s="415">
        <v>373.8</v>
      </c>
      <c r="AC26" s="415">
        <v>501.3</v>
      </c>
      <c r="AD26" s="415">
        <v>478.1</v>
      </c>
      <c r="AE26" s="414">
        <v>528.6</v>
      </c>
      <c r="AF26" s="415">
        <v>766</v>
      </c>
      <c r="AG26" s="415">
        <v>375</v>
      </c>
      <c r="AH26" s="415">
        <v>516</v>
      </c>
      <c r="AI26" s="414">
        <v>644</v>
      </c>
      <c r="AJ26" s="415">
        <v>652</v>
      </c>
      <c r="AK26" s="415">
        <v>612.6</v>
      </c>
      <c r="AL26" s="415">
        <v>649.4</v>
      </c>
      <c r="AM26" s="414">
        <v>589</v>
      </c>
      <c r="AN26" s="415">
        <v>931</v>
      </c>
      <c r="AO26" s="415">
        <v>684.4</v>
      </c>
      <c r="AP26" s="415">
        <v>801</v>
      </c>
      <c r="AQ26" s="414">
        <v>891</v>
      </c>
      <c r="AR26" s="415">
        <v>981.2</v>
      </c>
      <c r="AS26" s="415">
        <v>848</v>
      </c>
      <c r="AT26" s="415">
        <v>985</v>
      </c>
      <c r="AU26" s="414">
        <v>971</v>
      </c>
      <c r="AV26" s="415">
        <v>1198.5999999999999</v>
      </c>
      <c r="AW26" s="415">
        <v>1097.9000000000001</v>
      </c>
      <c r="AX26" s="415">
        <v>1358.8</v>
      </c>
      <c r="AY26" s="414">
        <v>1378.8</v>
      </c>
      <c r="AZ26" s="415">
        <v>1403.1</v>
      </c>
      <c r="BA26" s="415">
        <v>1184.2</v>
      </c>
      <c r="BB26" s="415">
        <v>1071.5</v>
      </c>
      <c r="BC26" s="414">
        <v>889</v>
      </c>
      <c r="BD26" s="415">
        <v>723</v>
      </c>
      <c r="BE26" s="415">
        <v>986</v>
      </c>
      <c r="BF26" s="415">
        <v>1232</v>
      </c>
    </row>
    <row r="29" spans="1:58">
      <c r="BB29" s="409"/>
      <c r="BF29" s="409"/>
    </row>
    <row r="30" spans="1:58">
      <c r="BB30" s="410"/>
      <c r="BF30" s="410"/>
    </row>
  </sheetData>
  <mergeCells count="16">
    <mergeCell ref="BC2:BF2"/>
    <mergeCell ref="AY2:BB2"/>
    <mergeCell ref="AU2:AX2"/>
    <mergeCell ref="AQ2:AT2"/>
    <mergeCell ref="A2:A3"/>
    <mergeCell ref="B2:B3"/>
    <mergeCell ref="C2:F2"/>
    <mergeCell ref="G2:J2"/>
    <mergeCell ref="K2:N2"/>
    <mergeCell ref="AI2:AL2"/>
    <mergeCell ref="S2:V2"/>
    <mergeCell ref="AM2:AP2"/>
    <mergeCell ref="O2:R2"/>
    <mergeCell ref="AE2:AH2"/>
    <mergeCell ref="AA2:AD2"/>
    <mergeCell ref="W2:Z2"/>
  </mergeCells>
  <printOptions horizontalCentered="1"/>
  <pageMargins left="0.23622047244094491" right="0.23622047244094491" top="0.74803149606299213" bottom="0.74803149606299213" header="0.31496062992125984" footer="0.31496062992125984"/>
  <pageSetup paperSize="9" scale="32" orientation="landscape" r:id="rId1"/>
  <headerFooter alignWithMargins="0">
    <oddHeader xml:space="preserve">&amp;C&amp;"Times New Roman,Kursywa"&amp;12
</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dimension ref="A2:AT45"/>
  <sheetViews>
    <sheetView showGridLines="0" view="pageBreakPreview" topLeftCell="A2" zoomScaleNormal="100" zoomScaleSheetLayoutView="100" zoomScalePageLayoutView="80" workbookViewId="0">
      <pane xSplit="2" ySplit="4" topLeftCell="AN6" activePane="bottomRight" state="frozen"/>
      <selection activeCell="A2" sqref="A2"/>
      <selection pane="topRight" activeCell="C2" sqref="C2"/>
      <selection pane="bottomLeft" activeCell="A6" sqref="A6"/>
      <selection pane="bottomRight" activeCell="AQ3" sqref="AQ3:AT3"/>
    </sheetView>
  </sheetViews>
  <sheetFormatPr defaultColWidth="8.85546875" defaultRowHeight="13.5" outlineLevelCol="1"/>
  <cols>
    <col min="1" max="1" width="49.7109375" style="52" customWidth="1" outlineLevel="1"/>
    <col min="2" max="2" width="52.28515625" style="52" customWidth="1"/>
    <col min="3" max="46" width="8.7109375" style="13" customWidth="1"/>
    <col min="47" max="16384" width="8.85546875" style="13"/>
  </cols>
  <sheetData>
    <row r="2" spans="1:46">
      <c r="A2" s="53" t="s">
        <v>424</v>
      </c>
      <c r="B2" s="53" t="s">
        <v>425</v>
      </c>
    </row>
    <row r="3" spans="1:46">
      <c r="A3" s="639" t="s">
        <v>272</v>
      </c>
      <c r="B3" s="639" t="s">
        <v>120</v>
      </c>
      <c r="C3" s="636">
        <v>2007</v>
      </c>
      <c r="D3" s="641"/>
      <c r="E3" s="641"/>
      <c r="F3" s="641"/>
      <c r="G3" s="636">
        <v>2008</v>
      </c>
      <c r="H3" s="641"/>
      <c r="I3" s="641"/>
      <c r="J3" s="641"/>
      <c r="K3" s="636">
        <v>2009</v>
      </c>
      <c r="L3" s="641"/>
      <c r="M3" s="641"/>
      <c r="N3" s="641"/>
      <c r="O3" s="636">
        <v>2010</v>
      </c>
      <c r="P3" s="641"/>
      <c r="Q3" s="641"/>
      <c r="R3" s="641"/>
      <c r="S3" s="636">
        <v>2011</v>
      </c>
      <c r="T3" s="641"/>
      <c r="U3" s="641"/>
      <c r="V3" s="641"/>
      <c r="W3" s="636">
        <v>2012</v>
      </c>
      <c r="X3" s="641"/>
      <c r="Y3" s="641"/>
      <c r="Z3" s="642"/>
      <c r="AA3" s="636">
        <v>2013</v>
      </c>
      <c r="AB3" s="641"/>
      <c r="AC3" s="641"/>
      <c r="AD3" s="642"/>
      <c r="AE3" s="645">
        <v>2014</v>
      </c>
      <c r="AF3" s="641"/>
      <c r="AG3" s="641"/>
      <c r="AH3" s="642"/>
      <c r="AI3" s="645">
        <v>2015</v>
      </c>
      <c r="AJ3" s="641"/>
      <c r="AK3" s="641"/>
      <c r="AL3" s="642"/>
      <c r="AM3" s="645">
        <v>2016</v>
      </c>
      <c r="AN3" s="641"/>
      <c r="AO3" s="641"/>
      <c r="AP3" s="642"/>
      <c r="AQ3" s="703">
        <v>2017</v>
      </c>
      <c r="AR3" s="704"/>
      <c r="AS3" s="704"/>
      <c r="AT3" s="704"/>
    </row>
    <row r="4" spans="1:46" s="14" customFormat="1">
      <c r="A4" s="640"/>
      <c r="B4" s="640"/>
      <c r="C4" s="20" t="s">
        <v>149</v>
      </c>
      <c r="D4" s="21" t="s">
        <v>150</v>
      </c>
      <c r="E4" s="21" t="s">
        <v>151</v>
      </c>
      <c r="F4" s="21" t="s">
        <v>152</v>
      </c>
      <c r="G4" s="20" t="s">
        <v>149</v>
      </c>
      <c r="H4" s="21" t="s">
        <v>150</v>
      </c>
      <c r="I4" s="21" t="s">
        <v>151</v>
      </c>
      <c r="J4" s="21" t="s">
        <v>152</v>
      </c>
      <c r="K4" s="20" t="s">
        <v>149</v>
      </c>
      <c r="L4" s="21" t="s">
        <v>150</v>
      </c>
      <c r="M4" s="21" t="s">
        <v>151</v>
      </c>
      <c r="N4" s="21" t="s">
        <v>152</v>
      </c>
      <c r="O4" s="20" t="s">
        <v>149</v>
      </c>
      <c r="P4" s="21" t="s">
        <v>150</v>
      </c>
      <c r="Q4" s="21" t="s">
        <v>151</v>
      </c>
      <c r="R4" s="21" t="s">
        <v>152</v>
      </c>
      <c r="S4" s="20" t="s">
        <v>149</v>
      </c>
      <c r="T4" s="21" t="s">
        <v>150</v>
      </c>
      <c r="U4" s="21" t="s">
        <v>151</v>
      </c>
      <c r="V4" s="21" t="s">
        <v>152</v>
      </c>
      <c r="W4" s="20" t="s">
        <v>149</v>
      </c>
      <c r="X4" s="21" t="s">
        <v>150</v>
      </c>
      <c r="Y4" s="21" t="s">
        <v>151</v>
      </c>
      <c r="Z4" s="43" t="s">
        <v>152</v>
      </c>
      <c r="AA4" s="180" t="s">
        <v>149</v>
      </c>
      <c r="AB4" s="181" t="s">
        <v>150</v>
      </c>
      <c r="AC4" s="181" t="s">
        <v>151</v>
      </c>
      <c r="AD4" s="182" t="s">
        <v>152</v>
      </c>
      <c r="AE4" s="181" t="s">
        <v>149</v>
      </c>
      <c r="AF4" s="181" t="s">
        <v>150</v>
      </c>
      <c r="AG4" s="181" t="s">
        <v>151</v>
      </c>
      <c r="AH4" s="182" t="s">
        <v>152</v>
      </c>
      <c r="AI4" s="181" t="s">
        <v>149</v>
      </c>
      <c r="AJ4" s="181" t="s">
        <v>150</v>
      </c>
      <c r="AK4" s="181" t="s">
        <v>151</v>
      </c>
      <c r="AL4" s="182" t="s">
        <v>152</v>
      </c>
      <c r="AM4" s="181" t="s">
        <v>149</v>
      </c>
      <c r="AN4" s="181" t="s">
        <v>150</v>
      </c>
      <c r="AO4" s="181" t="s">
        <v>151</v>
      </c>
      <c r="AP4" s="182" t="s">
        <v>152</v>
      </c>
      <c r="AQ4" s="181" t="s">
        <v>149</v>
      </c>
      <c r="AR4" s="181" t="s">
        <v>150</v>
      </c>
      <c r="AS4" s="181" t="s">
        <v>151</v>
      </c>
      <c r="AT4" s="182" t="s">
        <v>152</v>
      </c>
    </row>
    <row r="5" spans="1:46" s="172" customFormat="1" ht="12.75" customHeight="1">
      <c r="A5" s="22" t="s">
        <v>154</v>
      </c>
      <c r="B5" s="22" t="s">
        <v>11</v>
      </c>
      <c r="C5" s="108"/>
      <c r="D5" s="109"/>
      <c r="E5" s="55"/>
      <c r="F5" s="109"/>
      <c r="G5" s="108"/>
      <c r="H5" s="109"/>
      <c r="I5" s="55"/>
      <c r="J5" s="110"/>
      <c r="K5" s="108"/>
      <c r="L5" s="109"/>
      <c r="M5" s="55"/>
      <c r="N5" s="110"/>
      <c r="O5" s="108"/>
      <c r="P5" s="109"/>
      <c r="Q5" s="55"/>
      <c r="R5" s="110"/>
      <c r="S5" s="108"/>
      <c r="T5" s="109"/>
      <c r="U5" s="55"/>
      <c r="V5" s="110"/>
      <c r="W5" s="108"/>
      <c r="X5" s="55"/>
      <c r="Y5" s="55"/>
      <c r="Z5" s="177"/>
      <c r="AA5" s="108"/>
      <c r="AB5" s="55"/>
      <c r="AC5" s="55"/>
      <c r="AD5" s="177"/>
      <c r="AE5" s="55"/>
      <c r="AF5" s="55"/>
      <c r="AG5" s="55"/>
      <c r="AH5" s="177"/>
      <c r="AI5" s="55"/>
      <c r="AJ5" s="55"/>
      <c r="AK5" s="55"/>
      <c r="AL5" s="177"/>
      <c r="AM5" s="55"/>
      <c r="AN5" s="55"/>
      <c r="AO5" s="55"/>
      <c r="AP5" s="177"/>
      <c r="AQ5" s="55"/>
      <c r="AR5" s="55"/>
      <c r="AS5" s="55"/>
      <c r="AT5" s="177"/>
    </row>
    <row r="6" spans="1:46" s="173" customFormat="1" ht="11.25">
      <c r="A6" s="30" t="s">
        <v>273</v>
      </c>
      <c r="B6" s="30" t="s">
        <v>111</v>
      </c>
      <c r="C6" s="27">
        <f t="shared" ref="C6:AF6" si="0">SUM(C15,C24,C29,C37)</f>
        <v>37903.5</v>
      </c>
      <c r="D6" s="28">
        <f t="shared" si="0"/>
        <v>37613</v>
      </c>
      <c r="E6" s="28">
        <f t="shared" si="0"/>
        <v>38935.5</v>
      </c>
      <c r="F6" s="28">
        <f t="shared" si="0"/>
        <v>42952.5</v>
      </c>
      <c r="G6" s="27">
        <f t="shared" si="0"/>
        <v>44148.4</v>
      </c>
      <c r="H6" s="28">
        <f t="shared" si="0"/>
        <v>46819.5</v>
      </c>
      <c r="I6" s="28">
        <f t="shared" si="0"/>
        <v>50369.599999999999</v>
      </c>
      <c r="J6" s="29">
        <f t="shared" si="0"/>
        <v>46317.7</v>
      </c>
      <c r="K6" s="27">
        <f t="shared" si="0"/>
        <v>45628.1</v>
      </c>
      <c r="L6" s="28">
        <f t="shared" si="0"/>
        <v>45008.2</v>
      </c>
      <c r="M6" s="28">
        <f t="shared" si="0"/>
        <v>45775.9</v>
      </c>
      <c r="N6" s="29">
        <f t="shared" si="0"/>
        <v>46762</v>
      </c>
      <c r="O6" s="27">
        <f t="shared" si="0"/>
        <v>45165.799999999996</v>
      </c>
      <c r="P6" s="28">
        <f t="shared" si="0"/>
        <v>45293.700000000004</v>
      </c>
      <c r="Q6" s="28">
        <f t="shared" si="0"/>
        <v>47122.899999999994</v>
      </c>
      <c r="R6" s="29">
        <f t="shared" si="0"/>
        <v>46884.899999999994</v>
      </c>
      <c r="S6" s="27">
        <f t="shared" si="0"/>
        <v>45740.9</v>
      </c>
      <c r="T6" s="28">
        <f t="shared" si="0"/>
        <v>47565.100000000006</v>
      </c>
      <c r="U6" s="28">
        <f t="shared" si="0"/>
        <v>50063.799999999996</v>
      </c>
      <c r="V6" s="29">
        <f t="shared" si="0"/>
        <v>52379.1</v>
      </c>
      <c r="W6" s="27">
        <f t="shared" si="0"/>
        <v>51557.8</v>
      </c>
      <c r="X6" s="28">
        <f t="shared" si="0"/>
        <v>53253.5</v>
      </c>
      <c r="Y6" s="28">
        <f t="shared" si="0"/>
        <v>53924.7</v>
      </c>
      <c r="Z6" s="29">
        <f t="shared" si="0"/>
        <v>56834.600000000006</v>
      </c>
      <c r="AA6" s="27">
        <f t="shared" si="0"/>
        <v>57034.1</v>
      </c>
      <c r="AB6" s="28">
        <f t="shared" si="0"/>
        <v>61127.499999999993</v>
      </c>
      <c r="AC6" s="28">
        <f t="shared" si="0"/>
        <v>65255.7</v>
      </c>
      <c r="AD6" s="29">
        <f t="shared" si="0"/>
        <v>66544</v>
      </c>
      <c r="AE6" s="28">
        <f t="shared" si="0"/>
        <v>66012.3</v>
      </c>
      <c r="AF6" s="28">
        <f t="shared" si="0"/>
        <v>68471</v>
      </c>
      <c r="AG6" s="28">
        <f t="shared" ref="AG6:AL6" si="1">SUM(AG15,AG24,AG29,AG37)</f>
        <v>70537.8</v>
      </c>
      <c r="AH6" s="29">
        <f t="shared" si="1"/>
        <v>74405.7</v>
      </c>
      <c r="AI6" s="28">
        <f t="shared" si="1"/>
        <v>76535.200000000012</v>
      </c>
      <c r="AJ6" s="28">
        <f t="shared" si="1"/>
        <v>79505.600000000006</v>
      </c>
      <c r="AK6" s="28">
        <f t="shared" si="1"/>
        <v>82585</v>
      </c>
      <c r="AL6" s="29">
        <f t="shared" si="1"/>
        <v>86463.7</v>
      </c>
      <c r="AM6" s="28">
        <f t="shared" ref="AM6:AR6" si="2">SUM(AM15,AM24,AM29,AM37)</f>
        <v>89106.8</v>
      </c>
      <c r="AN6" s="28">
        <f t="shared" si="2"/>
        <v>91728.099999999991</v>
      </c>
      <c r="AO6" s="28">
        <f t="shared" si="2"/>
        <v>90785</v>
      </c>
      <c r="AP6" s="29">
        <f t="shared" si="2"/>
        <v>94113.400000000009</v>
      </c>
      <c r="AQ6" s="28">
        <f t="shared" si="2"/>
        <v>95065.2</v>
      </c>
      <c r="AR6" s="28">
        <f t="shared" si="2"/>
        <v>95981.1</v>
      </c>
      <c r="AS6" s="28">
        <f>SUM(AS15,AS24,AS29,AS37)</f>
        <v>96965</v>
      </c>
      <c r="AT6" s="28">
        <f>SUM(AT15,AT24,AT29,AT37)</f>
        <v>102850.59999999999</v>
      </c>
    </row>
    <row r="7" spans="1:46" s="173" customFormat="1" ht="11.25">
      <c r="A7" s="26" t="s">
        <v>274</v>
      </c>
      <c r="B7" s="26" t="s">
        <v>112</v>
      </c>
      <c r="C7" s="27">
        <f t="shared" ref="C7:AF7" si="3">SUM(C18,C27,C32,C40)</f>
        <v>481</v>
      </c>
      <c r="D7" s="28">
        <f t="shared" si="3"/>
        <v>648.69999999999993</v>
      </c>
      <c r="E7" s="28">
        <f t="shared" si="3"/>
        <v>659.79999999999973</v>
      </c>
      <c r="F7" s="28">
        <f t="shared" si="3"/>
        <v>694</v>
      </c>
      <c r="G7" s="27">
        <f t="shared" si="3"/>
        <v>543.1</v>
      </c>
      <c r="H7" s="28">
        <f t="shared" si="3"/>
        <v>626.09999999999991</v>
      </c>
      <c r="I7" s="28">
        <f t="shared" si="3"/>
        <v>634.80000000000007</v>
      </c>
      <c r="J7" s="29">
        <f t="shared" si="3"/>
        <v>592.20000000000005</v>
      </c>
      <c r="K7" s="27">
        <f t="shared" si="3"/>
        <v>716.69999999999993</v>
      </c>
      <c r="L7" s="28">
        <f t="shared" si="3"/>
        <v>720.4</v>
      </c>
      <c r="M7" s="28">
        <f t="shared" si="3"/>
        <v>729.1</v>
      </c>
      <c r="N7" s="29">
        <f t="shared" si="3"/>
        <v>557.1</v>
      </c>
      <c r="O7" s="27">
        <f t="shared" si="3"/>
        <v>541.79999999999995</v>
      </c>
      <c r="P7" s="28">
        <f t="shared" si="3"/>
        <v>597.6</v>
      </c>
      <c r="Q7" s="28">
        <f t="shared" si="3"/>
        <v>578.70000000000005</v>
      </c>
      <c r="R7" s="29">
        <f t="shared" si="3"/>
        <v>563.29999999999995</v>
      </c>
      <c r="S7" s="27">
        <f t="shared" si="3"/>
        <v>624.20000000000005</v>
      </c>
      <c r="T7" s="28">
        <f t="shared" si="3"/>
        <v>646.50000000000011</v>
      </c>
      <c r="U7" s="28">
        <f t="shared" si="3"/>
        <v>656.69999999999993</v>
      </c>
      <c r="V7" s="29">
        <f t="shared" si="3"/>
        <v>481.50000000000006</v>
      </c>
      <c r="W7" s="27">
        <f t="shared" si="3"/>
        <v>863.69999999999993</v>
      </c>
      <c r="X7" s="28">
        <f t="shared" si="3"/>
        <v>928.90000000000009</v>
      </c>
      <c r="Y7" s="28">
        <f t="shared" si="3"/>
        <v>967.00000000000011</v>
      </c>
      <c r="Z7" s="29">
        <f t="shared" si="3"/>
        <v>1063.8</v>
      </c>
      <c r="AA7" s="27">
        <f t="shared" si="3"/>
        <v>1092.7</v>
      </c>
      <c r="AB7" s="28">
        <f t="shared" si="3"/>
        <v>1093.0999999999999</v>
      </c>
      <c r="AC7" s="28">
        <f t="shared" si="3"/>
        <v>1142.2000000000003</v>
      </c>
      <c r="AD7" s="29">
        <f t="shared" si="3"/>
        <v>1003.9000000000001</v>
      </c>
      <c r="AE7" s="28">
        <f t="shared" si="3"/>
        <v>1013.6</v>
      </c>
      <c r="AF7" s="28">
        <f t="shared" si="3"/>
        <v>1218.2</v>
      </c>
      <c r="AG7" s="28">
        <f t="shared" ref="AG7:AL7" si="4">SUM(AG18,AG27,AG32,AG40)</f>
        <v>1160.6999999999998</v>
      </c>
      <c r="AH7" s="29">
        <f t="shared" si="4"/>
        <v>1253.2</v>
      </c>
      <c r="AI7" s="28">
        <f t="shared" si="4"/>
        <v>1071.5</v>
      </c>
      <c r="AJ7" s="28">
        <f t="shared" si="4"/>
        <v>1245.0000000000002</v>
      </c>
      <c r="AK7" s="28">
        <f t="shared" si="4"/>
        <v>1240.8999999999999</v>
      </c>
      <c r="AL7" s="29">
        <f t="shared" si="4"/>
        <v>1354.8000000000002</v>
      </c>
      <c r="AM7" s="28">
        <f t="shared" ref="AM7:AR7" si="5">SUM(AM18,AM27,AM32,AM40)</f>
        <v>1296.2</v>
      </c>
      <c r="AN7" s="28">
        <f t="shared" si="5"/>
        <v>1755.2</v>
      </c>
      <c r="AO7" s="28">
        <f t="shared" si="5"/>
        <v>1519.6</v>
      </c>
      <c r="AP7" s="29">
        <f t="shared" si="5"/>
        <v>1712</v>
      </c>
      <c r="AQ7" s="28">
        <f t="shared" si="5"/>
        <v>1555.5</v>
      </c>
      <c r="AR7" s="28">
        <f t="shared" si="5"/>
        <v>1727.6999999999998</v>
      </c>
      <c r="AS7" s="28">
        <f>SUM(AS18,AS27,AS32,AS40)</f>
        <v>1494.7999999999997</v>
      </c>
      <c r="AT7" s="28">
        <f>SUM(AT18,AT27,AT32,AT40)</f>
        <v>1652.7</v>
      </c>
    </row>
    <row r="8" spans="1:46" s="176" customFormat="1" ht="17.45" customHeight="1">
      <c r="A8" s="51" t="s">
        <v>275</v>
      </c>
      <c r="B8" s="51" t="s">
        <v>121</v>
      </c>
      <c r="C8" s="37">
        <f>SUM(C6:C7)</f>
        <v>38384.5</v>
      </c>
      <c r="D8" s="38">
        <f t="shared" ref="D8:AB8" si="6">SUM(D6:D7)</f>
        <v>38261.699999999997</v>
      </c>
      <c r="E8" s="38">
        <f t="shared" si="6"/>
        <v>39595.300000000003</v>
      </c>
      <c r="F8" s="38">
        <f t="shared" si="6"/>
        <v>43646.5</v>
      </c>
      <c r="G8" s="37">
        <f t="shared" si="6"/>
        <v>44691.5</v>
      </c>
      <c r="H8" s="38">
        <f t="shared" si="6"/>
        <v>47445.599999999999</v>
      </c>
      <c r="I8" s="38">
        <f t="shared" si="6"/>
        <v>51004.4</v>
      </c>
      <c r="J8" s="39">
        <f t="shared" si="6"/>
        <v>46909.899999999994</v>
      </c>
      <c r="K8" s="37">
        <f t="shared" si="6"/>
        <v>46344.799999999996</v>
      </c>
      <c r="L8" s="38">
        <f t="shared" si="6"/>
        <v>45728.6</v>
      </c>
      <c r="M8" s="38">
        <f t="shared" si="6"/>
        <v>46505</v>
      </c>
      <c r="N8" s="39">
        <f t="shared" si="6"/>
        <v>47319.1</v>
      </c>
      <c r="O8" s="37">
        <f t="shared" si="6"/>
        <v>45707.6</v>
      </c>
      <c r="P8" s="38">
        <f t="shared" si="6"/>
        <v>45891.3</v>
      </c>
      <c r="Q8" s="38">
        <f t="shared" si="6"/>
        <v>47701.599999999991</v>
      </c>
      <c r="R8" s="39">
        <f t="shared" si="6"/>
        <v>47448.2</v>
      </c>
      <c r="S8" s="37">
        <f t="shared" si="6"/>
        <v>46365.1</v>
      </c>
      <c r="T8" s="38">
        <f t="shared" si="6"/>
        <v>48211.600000000006</v>
      </c>
      <c r="U8" s="38">
        <f t="shared" si="6"/>
        <v>50720.499999999993</v>
      </c>
      <c r="V8" s="39">
        <f t="shared" si="6"/>
        <v>52860.6</v>
      </c>
      <c r="W8" s="37">
        <f t="shared" si="6"/>
        <v>52421.5</v>
      </c>
      <c r="X8" s="38">
        <f t="shared" si="6"/>
        <v>54182.400000000001</v>
      </c>
      <c r="Y8" s="38">
        <f t="shared" si="6"/>
        <v>54891.7</v>
      </c>
      <c r="Z8" s="39">
        <f t="shared" si="6"/>
        <v>57898.400000000009</v>
      </c>
      <c r="AA8" s="37">
        <f t="shared" si="6"/>
        <v>58126.799999999996</v>
      </c>
      <c r="AB8" s="38">
        <f t="shared" si="6"/>
        <v>62220.599999999991</v>
      </c>
      <c r="AC8" s="38">
        <f t="shared" ref="AC8:AH8" si="7">SUM(AC6:AC7)</f>
        <v>66397.899999999994</v>
      </c>
      <c r="AD8" s="39">
        <f t="shared" si="7"/>
        <v>67547.899999999994</v>
      </c>
      <c r="AE8" s="38">
        <f t="shared" si="7"/>
        <v>67025.900000000009</v>
      </c>
      <c r="AF8" s="38">
        <f t="shared" si="7"/>
        <v>69689.2</v>
      </c>
      <c r="AG8" s="38">
        <f t="shared" si="7"/>
        <v>71698.5</v>
      </c>
      <c r="AH8" s="39">
        <f t="shared" si="7"/>
        <v>75658.899999999994</v>
      </c>
      <c r="AI8" s="38">
        <f t="shared" ref="AI8:AR8" si="8">SUM(AI6:AI7)</f>
        <v>77606.700000000012</v>
      </c>
      <c r="AJ8" s="38">
        <f t="shared" si="8"/>
        <v>80750.600000000006</v>
      </c>
      <c r="AK8" s="38">
        <f t="shared" si="8"/>
        <v>83825.899999999994</v>
      </c>
      <c r="AL8" s="39">
        <f t="shared" si="8"/>
        <v>87818.5</v>
      </c>
      <c r="AM8" s="38">
        <f t="shared" si="8"/>
        <v>90403</v>
      </c>
      <c r="AN8" s="38">
        <f>SUM(AN6:AN7)</f>
        <v>93483.299999999988</v>
      </c>
      <c r="AO8" s="38">
        <f>SUM(AO6:AO7)</f>
        <v>92304.6</v>
      </c>
      <c r="AP8" s="39">
        <f t="shared" si="8"/>
        <v>95825.400000000009</v>
      </c>
      <c r="AQ8" s="38">
        <f t="shared" si="8"/>
        <v>96620.7</v>
      </c>
      <c r="AR8" s="38">
        <f t="shared" si="8"/>
        <v>97708.800000000003</v>
      </c>
      <c r="AS8" s="38">
        <f>SUM(AS6:AS7)</f>
        <v>98459.8</v>
      </c>
      <c r="AT8" s="38">
        <f>SUM(AT6:AT7)</f>
        <v>104503.29999999999</v>
      </c>
    </row>
    <row r="9" spans="1:46" s="175" customFormat="1" ht="22.5">
      <c r="A9" s="35" t="s">
        <v>321</v>
      </c>
      <c r="B9" s="35" t="s">
        <v>122</v>
      </c>
      <c r="C9" s="27">
        <f>SUM(C19)</f>
        <v>2997.5</v>
      </c>
      <c r="D9" s="28">
        <f t="shared" ref="D9:X9" si="9">SUM(D19)</f>
        <v>2818.1000000000004</v>
      </c>
      <c r="E9" s="28">
        <f t="shared" si="9"/>
        <v>2449.8999999999996</v>
      </c>
      <c r="F9" s="28">
        <f t="shared" si="9"/>
        <v>2342.1999999999998</v>
      </c>
      <c r="G9" s="27">
        <f t="shared" si="9"/>
        <v>2498.6</v>
      </c>
      <c r="H9" s="28">
        <f t="shared" si="9"/>
        <v>3802.2</v>
      </c>
      <c r="I9" s="28">
        <f t="shared" si="9"/>
        <v>3351</v>
      </c>
      <c r="J9" s="29">
        <f t="shared" si="9"/>
        <v>4396.4000000000005</v>
      </c>
      <c r="K9" s="27">
        <f t="shared" si="9"/>
        <v>4990.7</v>
      </c>
      <c r="L9" s="28">
        <f t="shared" si="9"/>
        <v>4152.5</v>
      </c>
      <c r="M9" s="28">
        <f t="shared" si="9"/>
        <v>4327</v>
      </c>
      <c r="N9" s="29">
        <f t="shared" si="9"/>
        <v>3445.4999999999995</v>
      </c>
      <c r="O9" s="27">
        <f t="shared" si="9"/>
        <v>3147.7000000000003</v>
      </c>
      <c r="P9" s="28">
        <f t="shared" si="9"/>
        <v>3962.7000000000003</v>
      </c>
      <c r="Q9" s="28">
        <f t="shared" si="9"/>
        <v>3319.5</v>
      </c>
      <c r="R9" s="29">
        <f t="shared" si="9"/>
        <v>2726</v>
      </c>
      <c r="S9" s="27">
        <f t="shared" si="9"/>
        <v>2774.4</v>
      </c>
      <c r="T9" s="28">
        <f t="shared" si="9"/>
        <v>2772.2000000000003</v>
      </c>
      <c r="U9" s="28">
        <f t="shared" si="9"/>
        <v>2440.5</v>
      </c>
      <c r="V9" s="29">
        <f t="shared" si="9"/>
        <v>3010.7</v>
      </c>
      <c r="W9" s="27">
        <f t="shared" si="9"/>
        <v>3104.7</v>
      </c>
      <c r="X9" s="28">
        <f t="shared" si="9"/>
        <v>3719.4</v>
      </c>
      <c r="Y9" s="28">
        <f t="shared" ref="Y9:AD9" si="10">SUM(Y19)</f>
        <v>3209</v>
      </c>
      <c r="Z9" s="29">
        <f t="shared" si="10"/>
        <v>3544.6999999999994</v>
      </c>
      <c r="AA9" s="27">
        <f t="shared" si="10"/>
        <v>2440.6999999999998</v>
      </c>
      <c r="AB9" s="28">
        <f t="shared" si="10"/>
        <v>2763</v>
      </c>
      <c r="AC9" s="28">
        <f t="shared" si="10"/>
        <v>3874.7000000000007</v>
      </c>
      <c r="AD9" s="29">
        <f t="shared" si="10"/>
        <v>3216.2</v>
      </c>
      <c r="AE9" s="28">
        <f t="shared" ref="AE9:AJ9" si="11">SUM(AE19)</f>
        <v>2392.3000000000002</v>
      </c>
      <c r="AF9" s="28">
        <f t="shared" si="11"/>
        <v>2641.5</v>
      </c>
      <c r="AG9" s="28">
        <f t="shared" si="11"/>
        <v>2921.7999999999997</v>
      </c>
      <c r="AH9" s="29">
        <f t="shared" si="11"/>
        <v>2243.7999999999997</v>
      </c>
      <c r="AI9" s="28">
        <f t="shared" si="11"/>
        <v>2426.3000000000002</v>
      </c>
      <c r="AJ9" s="28">
        <f t="shared" si="11"/>
        <v>2083.7000000000003</v>
      </c>
      <c r="AK9" s="28">
        <f t="shared" ref="AK9:AR9" si="12">SUM(AK19)</f>
        <v>2689.7000000000003</v>
      </c>
      <c r="AL9" s="29">
        <f t="shared" si="12"/>
        <v>2417.3000000000002</v>
      </c>
      <c r="AM9" s="28">
        <f t="shared" si="12"/>
        <v>2527.9</v>
      </c>
      <c r="AN9" s="28">
        <f t="shared" si="12"/>
        <v>2700.1</v>
      </c>
      <c r="AO9" s="28">
        <f t="shared" si="12"/>
        <v>2775.5</v>
      </c>
      <c r="AP9" s="29">
        <f t="shared" si="12"/>
        <v>3617.9</v>
      </c>
      <c r="AQ9" s="28">
        <f t="shared" si="12"/>
        <v>2957.6</v>
      </c>
      <c r="AR9" s="28">
        <f t="shared" si="12"/>
        <v>4115.5</v>
      </c>
      <c r="AS9" s="28">
        <f>SUM(AS19)</f>
        <v>3615.5000000000005</v>
      </c>
      <c r="AT9" s="28">
        <f>SUM(AT19)</f>
        <v>4258.3999999999996</v>
      </c>
    </row>
    <row r="10" spans="1:46" s="175" customFormat="1" ht="12.75" customHeight="1">
      <c r="A10" s="30" t="s">
        <v>322</v>
      </c>
      <c r="B10" s="30" t="s">
        <v>123</v>
      </c>
      <c r="C10" s="27">
        <f>SUM(C33)</f>
        <v>33444.9</v>
      </c>
      <c r="D10" s="28">
        <f t="shared" ref="D10:X10" si="13">SUM(D33)</f>
        <v>33312.699999999997</v>
      </c>
      <c r="E10" s="28">
        <f t="shared" si="13"/>
        <v>34912.6</v>
      </c>
      <c r="F10" s="28">
        <f t="shared" si="13"/>
        <v>38725.300000000003</v>
      </c>
      <c r="G10" s="27">
        <f t="shared" si="13"/>
        <v>39810.700000000004</v>
      </c>
      <c r="H10" s="28">
        <f t="shared" si="13"/>
        <v>40753.4</v>
      </c>
      <c r="I10" s="28">
        <f t="shared" si="13"/>
        <v>45088.3</v>
      </c>
      <c r="J10" s="29">
        <f t="shared" si="13"/>
        <v>39611.299999999996</v>
      </c>
      <c r="K10" s="27">
        <f t="shared" si="13"/>
        <v>39154.1</v>
      </c>
      <c r="L10" s="28">
        <f t="shared" si="13"/>
        <v>39901.399999999994</v>
      </c>
      <c r="M10" s="28">
        <f t="shared" si="13"/>
        <v>40493.199999999997</v>
      </c>
      <c r="N10" s="29">
        <f t="shared" si="13"/>
        <v>42364.3</v>
      </c>
      <c r="O10" s="27">
        <f t="shared" si="13"/>
        <v>41033.699999999997</v>
      </c>
      <c r="P10" s="28">
        <f t="shared" si="13"/>
        <v>40545.5</v>
      </c>
      <c r="Q10" s="28">
        <f t="shared" si="13"/>
        <v>41582.299999999996</v>
      </c>
      <c r="R10" s="29">
        <f t="shared" si="13"/>
        <v>43025.299999999996</v>
      </c>
      <c r="S10" s="27">
        <f t="shared" si="13"/>
        <v>41801.299999999996</v>
      </c>
      <c r="T10" s="28">
        <f t="shared" si="13"/>
        <v>43799.899999999994</v>
      </c>
      <c r="U10" s="28">
        <f t="shared" si="13"/>
        <v>46054.7</v>
      </c>
      <c r="V10" s="29">
        <f t="shared" si="13"/>
        <v>47745.2</v>
      </c>
      <c r="W10" s="27">
        <f t="shared" si="13"/>
        <v>47634.900000000009</v>
      </c>
      <c r="X10" s="28">
        <f t="shared" si="13"/>
        <v>48818.400000000001</v>
      </c>
      <c r="Y10" s="28">
        <f t="shared" ref="Y10:AD10" si="14">SUM(Y33)</f>
        <v>50048.899999999994</v>
      </c>
      <c r="Z10" s="29">
        <f t="shared" si="14"/>
        <v>52251.100000000006</v>
      </c>
      <c r="AA10" s="27">
        <f t="shared" si="14"/>
        <v>53749.500000000007</v>
      </c>
      <c r="AB10" s="28">
        <f t="shared" si="14"/>
        <v>57471.799999999996</v>
      </c>
      <c r="AC10" s="28">
        <f t="shared" si="14"/>
        <v>60576.7</v>
      </c>
      <c r="AD10" s="29">
        <f t="shared" si="14"/>
        <v>62231.3</v>
      </c>
      <c r="AE10" s="28">
        <f t="shared" ref="AE10:AJ10" si="15">SUM(AE33)</f>
        <v>62610.9</v>
      </c>
      <c r="AF10" s="28">
        <f t="shared" si="15"/>
        <v>65126.400000000001</v>
      </c>
      <c r="AG10" s="28">
        <f t="shared" si="15"/>
        <v>66832.600000000006</v>
      </c>
      <c r="AH10" s="29">
        <f t="shared" si="15"/>
        <v>71539.299999999988</v>
      </c>
      <c r="AI10" s="28">
        <f t="shared" si="15"/>
        <v>73225.8</v>
      </c>
      <c r="AJ10" s="28">
        <f t="shared" si="15"/>
        <v>76942.5</v>
      </c>
      <c r="AK10" s="28">
        <f t="shared" ref="AK10:AR10" si="16">SUM(AK33)</f>
        <v>79348.800000000003</v>
      </c>
      <c r="AL10" s="29">
        <f t="shared" si="16"/>
        <v>83769.299999999988</v>
      </c>
      <c r="AM10" s="28">
        <f t="shared" si="16"/>
        <v>86077.3</v>
      </c>
      <c r="AN10" s="28">
        <f t="shared" si="16"/>
        <v>88521.8</v>
      </c>
      <c r="AO10" s="28">
        <f t="shared" si="16"/>
        <v>87572.299999999988</v>
      </c>
      <c r="AP10" s="29">
        <f t="shared" si="16"/>
        <v>90456.5</v>
      </c>
      <c r="AQ10" s="28">
        <f t="shared" si="16"/>
        <v>91082.7</v>
      </c>
      <c r="AR10" s="28">
        <f t="shared" si="16"/>
        <v>91830.200000000012</v>
      </c>
      <c r="AS10" s="28">
        <f>SUM(AS33)</f>
        <v>92532.7</v>
      </c>
      <c r="AT10" s="28">
        <f>SUM(AT33)</f>
        <v>98438.799999999988</v>
      </c>
    </row>
    <row r="11" spans="1:46" s="175" customFormat="1" ht="33.75">
      <c r="A11" s="30" t="s">
        <v>323</v>
      </c>
      <c r="B11" s="30" t="s">
        <v>124</v>
      </c>
      <c r="C11" s="27">
        <f>SUM(C41)</f>
        <v>1942.1</v>
      </c>
      <c r="D11" s="28">
        <f t="shared" ref="D11:X11" si="17">SUM(D41)</f>
        <v>2130.8999999999996</v>
      </c>
      <c r="E11" s="28">
        <f t="shared" si="17"/>
        <v>2232.8000000000002</v>
      </c>
      <c r="F11" s="28">
        <f t="shared" si="17"/>
        <v>2579</v>
      </c>
      <c r="G11" s="27">
        <f t="shared" si="17"/>
        <v>2382.1999999999998</v>
      </c>
      <c r="H11" s="28">
        <f t="shared" si="17"/>
        <v>2890</v>
      </c>
      <c r="I11" s="28">
        <f t="shared" si="17"/>
        <v>2565.1</v>
      </c>
      <c r="J11" s="29">
        <f t="shared" si="17"/>
        <v>2902.2</v>
      </c>
      <c r="K11" s="27">
        <f t="shared" si="17"/>
        <v>2200</v>
      </c>
      <c r="L11" s="28">
        <f t="shared" si="17"/>
        <v>1674.7</v>
      </c>
      <c r="M11" s="28">
        <f t="shared" si="17"/>
        <v>1684.8</v>
      </c>
      <c r="N11" s="29">
        <f t="shared" si="17"/>
        <v>1509.3</v>
      </c>
      <c r="O11" s="27">
        <f t="shared" si="17"/>
        <v>1526.2</v>
      </c>
      <c r="P11" s="28">
        <f t="shared" si="17"/>
        <v>1383.1</v>
      </c>
      <c r="Q11" s="28">
        <f t="shared" si="17"/>
        <v>2799.7999999999997</v>
      </c>
      <c r="R11" s="29">
        <f t="shared" si="17"/>
        <v>1696.9</v>
      </c>
      <c r="S11" s="27">
        <f t="shared" si="17"/>
        <v>1789.4</v>
      </c>
      <c r="T11" s="28">
        <f t="shared" si="17"/>
        <v>1639.5000000000002</v>
      </c>
      <c r="U11" s="28">
        <f t="shared" si="17"/>
        <v>2225.2999999999997</v>
      </c>
      <c r="V11" s="29">
        <f t="shared" si="17"/>
        <v>2104.6999999999998</v>
      </c>
      <c r="W11" s="27">
        <f t="shared" si="17"/>
        <v>1681.9</v>
      </c>
      <c r="X11" s="28">
        <f t="shared" si="17"/>
        <v>1644.6000000000001</v>
      </c>
      <c r="Y11" s="28">
        <f t="shared" ref="Y11:AD11" si="18">SUM(Y41)</f>
        <v>1633.8</v>
      </c>
      <c r="Z11" s="29">
        <f t="shared" si="18"/>
        <v>2102.6</v>
      </c>
      <c r="AA11" s="27">
        <f t="shared" si="18"/>
        <v>1936.6</v>
      </c>
      <c r="AB11" s="28">
        <f t="shared" si="18"/>
        <v>1985.8000000000002</v>
      </c>
      <c r="AC11" s="28">
        <f t="shared" si="18"/>
        <v>1946.5000000000002</v>
      </c>
      <c r="AD11" s="29">
        <f t="shared" si="18"/>
        <v>2100.4</v>
      </c>
      <c r="AE11" s="28">
        <f t="shared" ref="AE11:AJ11" si="19">SUM(AE41)</f>
        <v>2022.7</v>
      </c>
      <c r="AF11" s="28">
        <f t="shared" si="19"/>
        <v>1921.3</v>
      </c>
      <c r="AG11" s="28">
        <f t="shared" si="19"/>
        <v>1944.1</v>
      </c>
      <c r="AH11" s="29">
        <f t="shared" si="19"/>
        <v>1875.8</v>
      </c>
      <c r="AI11" s="28">
        <f t="shared" si="19"/>
        <v>1954.6</v>
      </c>
      <c r="AJ11" s="28">
        <f t="shared" si="19"/>
        <v>1724.4</v>
      </c>
      <c r="AK11" s="28">
        <f t="shared" ref="AK11:AR11" si="20">SUM(AK41)</f>
        <v>1787.4</v>
      </c>
      <c r="AL11" s="29">
        <f t="shared" si="20"/>
        <v>1631.9</v>
      </c>
      <c r="AM11" s="28">
        <f t="shared" si="20"/>
        <v>1797.7999999999997</v>
      </c>
      <c r="AN11" s="28">
        <f t="shared" si="20"/>
        <v>2261.3999999999996</v>
      </c>
      <c r="AO11" s="28">
        <f t="shared" si="20"/>
        <v>1956.7999999999997</v>
      </c>
      <c r="AP11" s="29">
        <f t="shared" si="20"/>
        <v>1751</v>
      </c>
      <c r="AQ11" s="28">
        <f t="shared" si="20"/>
        <v>2580.4</v>
      </c>
      <c r="AR11" s="28">
        <f t="shared" si="20"/>
        <v>1763.1000000000001</v>
      </c>
      <c r="AS11" s="28">
        <f>SUM(AS41)</f>
        <v>2311.6000000000004</v>
      </c>
      <c r="AT11" s="28">
        <f>SUM(AT41)</f>
        <v>1806.1000000000001</v>
      </c>
    </row>
    <row r="12" spans="1:46" s="17" customFormat="1" ht="11.25">
      <c r="A12" s="257"/>
      <c r="B12" s="257"/>
      <c r="C12" s="27"/>
      <c r="D12" s="28"/>
      <c r="E12" s="28"/>
      <c r="F12" s="28"/>
      <c r="G12" s="27"/>
      <c r="H12" s="28"/>
      <c r="I12" s="28"/>
      <c r="J12" s="29"/>
      <c r="K12" s="27"/>
      <c r="L12" s="28"/>
      <c r="M12" s="28"/>
      <c r="N12" s="29"/>
      <c r="O12" s="27"/>
      <c r="P12" s="28"/>
      <c r="Q12" s="28"/>
      <c r="R12" s="29"/>
      <c r="S12" s="27"/>
      <c r="T12" s="28"/>
      <c r="U12" s="28"/>
      <c r="V12" s="29"/>
      <c r="W12" s="27"/>
      <c r="X12" s="28"/>
      <c r="Y12" s="28"/>
      <c r="Z12" s="29"/>
      <c r="AA12" s="27"/>
      <c r="AB12" s="28"/>
      <c r="AC12" s="28"/>
      <c r="AD12" s="29"/>
      <c r="AE12" s="28"/>
      <c r="AF12" s="28"/>
      <c r="AG12" s="28"/>
      <c r="AH12" s="29"/>
      <c r="AI12" s="28"/>
      <c r="AJ12" s="28"/>
      <c r="AK12" s="28"/>
      <c r="AL12" s="29"/>
      <c r="AM12" s="28"/>
      <c r="AN12" s="28"/>
      <c r="AO12" s="28"/>
      <c r="AP12" s="29"/>
      <c r="AQ12" s="28"/>
      <c r="AR12" s="28"/>
      <c r="AS12" s="28"/>
      <c r="AT12" s="29"/>
    </row>
    <row r="13" spans="1:46" s="175" customFormat="1" ht="22.5">
      <c r="A13" s="50" t="s">
        <v>276</v>
      </c>
      <c r="B13" s="50" t="s">
        <v>113</v>
      </c>
      <c r="C13" s="27"/>
      <c r="D13" s="28"/>
      <c r="E13" s="28"/>
      <c r="F13" s="28"/>
      <c r="G13" s="27"/>
      <c r="H13" s="28"/>
      <c r="I13" s="28"/>
      <c r="J13" s="29"/>
      <c r="K13" s="27"/>
      <c r="L13" s="28"/>
      <c r="M13" s="28"/>
      <c r="N13" s="29"/>
      <c r="O13" s="27"/>
      <c r="P13" s="28"/>
      <c r="Q13" s="28"/>
      <c r="R13" s="29"/>
      <c r="S13" s="27"/>
      <c r="T13" s="28"/>
      <c r="U13" s="28"/>
      <c r="V13" s="29"/>
      <c r="W13" s="27"/>
      <c r="X13" s="28"/>
      <c r="Y13" s="28"/>
      <c r="Z13" s="29"/>
      <c r="AA13" s="27"/>
      <c r="AB13" s="28"/>
      <c r="AC13" s="28"/>
      <c r="AD13" s="29"/>
      <c r="AE13" s="28"/>
      <c r="AF13" s="28"/>
      <c r="AG13" s="28"/>
      <c r="AH13" s="29"/>
      <c r="AI13" s="28"/>
      <c r="AJ13" s="28"/>
      <c r="AK13" s="28"/>
      <c r="AL13" s="29"/>
      <c r="AM13" s="28"/>
      <c r="AN13" s="28"/>
      <c r="AO13" s="28"/>
      <c r="AP13" s="29"/>
      <c r="AQ13" s="28"/>
      <c r="AR13" s="28"/>
      <c r="AS13" s="28"/>
      <c r="AT13" s="29"/>
    </row>
    <row r="14" spans="1:46" s="175" customFormat="1" ht="6" customHeight="1">
      <c r="A14" s="35"/>
      <c r="B14" s="35"/>
      <c r="C14" s="27"/>
      <c r="D14" s="28"/>
      <c r="E14" s="28"/>
      <c r="F14" s="28"/>
      <c r="G14" s="27"/>
      <c r="H14" s="28"/>
      <c r="I14" s="28"/>
      <c r="J14" s="29"/>
      <c r="K14" s="27"/>
      <c r="L14" s="28"/>
      <c r="M14" s="28"/>
      <c r="N14" s="29"/>
      <c r="O14" s="27"/>
      <c r="P14" s="28"/>
      <c r="Q14" s="28"/>
      <c r="R14" s="29"/>
      <c r="S14" s="27"/>
      <c r="T14" s="28"/>
      <c r="U14" s="28"/>
      <c r="V14" s="29"/>
      <c r="W14" s="27"/>
      <c r="X14" s="28"/>
      <c r="Y14" s="28"/>
      <c r="Z14" s="29"/>
      <c r="AA14" s="27"/>
      <c r="AB14" s="28"/>
      <c r="AC14" s="28"/>
      <c r="AD14" s="29"/>
      <c r="AE14" s="28"/>
      <c r="AF14" s="28"/>
      <c r="AG14" s="28"/>
      <c r="AH14" s="29"/>
      <c r="AI14" s="28"/>
      <c r="AJ14" s="28"/>
      <c r="AK14" s="28"/>
      <c r="AL14" s="29"/>
      <c r="AM14" s="28"/>
      <c r="AN14" s="28"/>
      <c r="AO14" s="28"/>
      <c r="AP14" s="29"/>
      <c r="AQ14" s="28"/>
      <c r="AR14" s="28"/>
      <c r="AS14" s="28"/>
      <c r="AT14" s="29"/>
    </row>
    <row r="15" spans="1:46" s="175" customFormat="1" ht="11.25">
      <c r="A15" s="35" t="s">
        <v>273</v>
      </c>
      <c r="B15" s="35" t="s">
        <v>114</v>
      </c>
      <c r="C15" s="27">
        <f>SUM(C16:C17)</f>
        <v>2886.5</v>
      </c>
      <c r="D15" s="28">
        <f>SUM(D16:D17)</f>
        <v>2746.2000000000003</v>
      </c>
      <c r="E15" s="28">
        <f>SUM(E16:E17)</f>
        <v>2399.6999999999998</v>
      </c>
      <c r="F15" s="28">
        <f>SUM(F16:F17)</f>
        <v>2226.6999999999998</v>
      </c>
      <c r="G15" s="27">
        <f t="shared" ref="G15:X15" si="21">SUM(G16:G17)</f>
        <v>2414.1</v>
      </c>
      <c r="H15" s="28">
        <f t="shared" si="21"/>
        <v>3649</v>
      </c>
      <c r="I15" s="28">
        <f t="shared" si="21"/>
        <v>3265.5</v>
      </c>
      <c r="J15" s="29">
        <f t="shared" si="21"/>
        <v>4312.3</v>
      </c>
      <c r="K15" s="27">
        <f t="shared" si="21"/>
        <v>4862.8</v>
      </c>
      <c r="L15" s="28">
        <f t="shared" si="21"/>
        <v>4011.1</v>
      </c>
      <c r="M15" s="28">
        <f t="shared" si="21"/>
        <v>4210.3</v>
      </c>
      <c r="N15" s="29">
        <f t="shared" si="21"/>
        <v>3352.3999999999996</v>
      </c>
      <c r="O15" s="27">
        <f t="shared" si="21"/>
        <v>3046.8</v>
      </c>
      <c r="P15" s="28">
        <f t="shared" si="21"/>
        <v>3804.6000000000004</v>
      </c>
      <c r="Q15" s="28">
        <f t="shared" si="21"/>
        <v>3210.7</v>
      </c>
      <c r="R15" s="29">
        <f t="shared" si="21"/>
        <v>2588.6</v>
      </c>
      <c r="S15" s="27">
        <f t="shared" si="21"/>
        <v>2667</v>
      </c>
      <c r="T15" s="28">
        <f t="shared" si="21"/>
        <v>2662.3</v>
      </c>
      <c r="U15" s="28">
        <f t="shared" si="21"/>
        <v>2328.4</v>
      </c>
      <c r="V15" s="29">
        <f t="shared" si="21"/>
        <v>2954.5</v>
      </c>
      <c r="W15" s="27">
        <f t="shared" si="21"/>
        <v>2977.7</v>
      </c>
      <c r="X15" s="28">
        <f t="shared" si="21"/>
        <v>3602.9</v>
      </c>
      <c r="Y15" s="28">
        <f t="shared" ref="Y15:AD15" si="22">SUM(Y16:Y17)</f>
        <v>3077.2</v>
      </c>
      <c r="Z15" s="29">
        <f t="shared" si="22"/>
        <v>3367.9999999999995</v>
      </c>
      <c r="AA15" s="27">
        <f t="shared" si="22"/>
        <v>2323</v>
      </c>
      <c r="AB15" s="28">
        <f t="shared" si="22"/>
        <v>2659.2</v>
      </c>
      <c r="AC15" s="28">
        <f t="shared" si="22"/>
        <v>3656.4000000000005</v>
      </c>
      <c r="AD15" s="29">
        <f t="shared" si="22"/>
        <v>3143.1</v>
      </c>
      <c r="AE15" s="28">
        <f t="shared" ref="AE15:AJ15" si="23">SUM(AE16:AE17)</f>
        <v>2252</v>
      </c>
      <c r="AF15" s="28">
        <f t="shared" si="23"/>
        <v>2442.9</v>
      </c>
      <c r="AG15" s="28">
        <f t="shared" si="23"/>
        <v>2842.7</v>
      </c>
      <c r="AH15" s="29">
        <f t="shared" si="23"/>
        <v>2142.7999999999997</v>
      </c>
      <c r="AI15" s="28">
        <f t="shared" si="23"/>
        <v>2367.5</v>
      </c>
      <c r="AJ15" s="28">
        <f t="shared" si="23"/>
        <v>1957.9</v>
      </c>
      <c r="AK15" s="28">
        <f t="shared" ref="AK15:AT15" si="24">SUM(AK16:AK17)</f>
        <v>2630.9</v>
      </c>
      <c r="AL15" s="29">
        <f t="shared" si="24"/>
        <v>2353.8000000000002</v>
      </c>
      <c r="AM15" s="28">
        <f t="shared" si="24"/>
        <v>2469</v>
      </c>
      <c r="AN15" s="28">
        <f t="shared" si="24"/>
        <v>2661.1</v>
      </c>
      <c r="AO15" s="28">
        <f t="shared" si="24"/>
        <v>2700.8</v>
      </c>
      <c r="AP15" s="29">
        <f t="shared" si="24"/>
        <v>3429.2000000000003</v>
      </c>
      <c r="AQ15" s="28">
        <f t="shared" si="24"/>
        <v>2847.6</v>
      </c>
      <c r="AR15" s="28">
        <f t="shared" si="24"/>
        <v>4044.7</v>
      </c>
      <c r="AS15" s="28">
        <f t="shared" si="24"/>
        <v>3348.2000000000003</v>
      </c>
      <c r="AT15" s="28">
        <f t="shared" si="24"/>
        <v>3961.5</v>
      </c>
    </row>
    <row r="16" spans="1:46" s="178" customFormat="1" ht="11.25">
      <c r="A16" s="46" t="s">
        <v>277</v>
      </c>
      <c r="B16" s="46" t="s">
        <v>115</v>
      </c>
      <c r="C16" s="47">
        <v>2550.4</v>
      </c>
      <c r="D16" s="48">
        <v>2099.3000000000002</v>
      </c>
      <c r="E16" s="48">
        <v>1707.7</v>
      </c>
      <c r="F16" s="48">
        <v>1229.8</v>
      </c>
      <c r="G16" s="47">
        <v>1477.4</v>
      </c>
      <c r="H16" s="48">
        <v>2129.1</v>
      </c>
      <c r="I16" s="48">
        <v>1801.3999999999999</v>
      </c>
      <c r="J16" s="49">
        <v>1312.8999999999999</v>
      </c>
      <c r="K16" s="47">
        <v>1547.4</v>
      </c>
      <c r="L16" s="48">
        <v>1840.5</v>
      </c>
      <c r="M16" s="48">
        <v>1702.5</v>
      </c>
      <c r="N16" s="49">
        <v>1727.1</v>
      </c>
      <c r="O16" s="47">
        <v>1598.7</v>
      </c>
      <c r="P16" s="48">
        <v>1886.1000000000001</v>
      </c>
      <c r="Q16" s="48">
        <v>1647.9</v>
      </c>
      <c r="R16" s="49">
        <v>1461.7</v>
      </c>
      <c r="S16" s="47">
        <v>1435.6</v>
      </c>
      <c r="T16" s="48">
        <v>1731.5</v>
      </c>
      <c r="U16" s="48">
        <v>1409</v>
      </c>
      <c r="V16" s="49">
        <v>1266</v>
      </c>
      <c r="W16" s="47">
        <v>1735</v>
      </c>
      <c r="X16" s="48">
        <v>2478.4</v>
      </c>
      <c r="Y16" s="48">
        <v>2556.1</v>
      </c>
      <c r="Z16" s="49">
        <v>2333.2999999999997</v>
      </c>
      <c r="AA16" s="47">
        <v>1517.1000000000001</v>
      </c>
      <c r="AB16" s="48">
        <v>1738.6</v>
      </c>
      <c r="AC16" s="48">
        <v>2781.1000000000004</v>
      </c>
      <c r="AD16" s="49">
        <v>2211.1999999999998</v>
      </c>
      <c r="AE16" s="48">
        <v>1646.4</v>
      </c>
      <c r="AF16" s="48">
        <v>1999.6</v>
      </c>
      <c r="AG16" s="48">
        <v>2145.7999999999997</v>
      </c>
      <c r="AH16" s="49">
        <v>1707.6</v>
      </c>
      <c r="AI16" s="48">
        <v>1850.4</v>
      </c>
      <c r="AJ16" s="48">
        <v>1931.9</v>
      </c>
      <c r="AK16" s="48">
        <v>2515.6</v>
      </c>
      <c r="AL16" s="49">
        <v>2272.3000000000002</v>
      </c>
      <c r="AM16" s="48">
        <v>2393.6</v>
      </c>
      <c r="AN16" s="48">
        <v>2536.1999999999998</v>
      </c>
      <c r="AO16" s="48">
        <v>2241.3000000000002</v>
      </c>
      <c r="AP16" s="49">
        <v>3233.8</v>
      </c>
      <c r="AQ16" s="48">
        <v>2709.1</v>
      </c>
      <c r="AR16" s="48">
        <v>3944</v>
      </c>
      <c r="AS16" s="48">
        <v>3133.3</v>
      </c>
      <c r="AT16" s="49">
        <v>3847.2</v>
      </c>
    </row>
    <row r="17" spans="1:46" s="178" customFormat="1" ht="11.25">
      <c r="A17" s="46" t="s">
        <v>351</v>
      </c>
      <c r="B17" s="46" t="s">
        <v>116</v>
      </c>
      <c r="C17" s="47">
        <f>332.4+3.7</f>
        <v>336.09999999999997</v>
      </c>
      <c r="D17" s="48">
        <f>645+1.9</f>
        <v>646.9</v>
      </c>
      <c r="E17" s="48">
        <f>690.4+1.6</f>
        <v>692</v>
      </c>
      <c r="F17" s="48">
        <v>996.9</v>
      </c>
      <c r="G17" s="47">
        <v>936.69999999999993</v>
      </c>
      <c r="H17" s="48">
        <v>1519.8999999999999</v>
      </c>
      <c r="I17" s="48">
        <v>1464.1</v>
      </c>
      <c r="J17" s="49">
        <v>2999.4</v>
      </c>
      <c r="K17" s="47">
        <v>3315.4</v>
      </c>
      <c r="L17" s="48">
        <v>2170.6</v>
      </c>
      <c r="M17" s="48">
        <v>2507.8000000000002</v>
      </c>
      <c r="N17" s="49">
        <v>1625.3</v>
      </c>
      <c r="O17" s="47">
        <v>1448.1000000000001</v>
      </c>
      <c r="P17" s="48">
        <v>1918.5</v>
      </c>
      <c r="Q17" s="48">
        <v>1562.8</v>
      </c>
      <c r="R17" s="49">
        <v>1126.8999999999999</v>
      </c>
      <c r="S17" s="47">
        <v>1231.4000000000001</v>
      </c>
      <c r="T17" s="48">
        <v>930.80000000000007</v>
      </c>
      <c r="U17" s="48">
        <v>919.4</v>
      </c>
      <c r="V17" s="49">
        <v>1688.5</v>
      </c>
      <c r="W17" s="47">
        <v>1242.6999999999998</v>
      </c>
      <c r="X17" s="48">
        <v>1124.5</v>
      </c>
      <c r="Y17" s="48">
        <v>521.09999999999991</v>
      </c>
      <c r="Z17" s="49">
        <v>1034.6999999999998</v>
      </c>
      <c r="AA17" s="47">
        <v>805.9</v>
      </c>
      <c r="AB17" s="48">
        <v>920.6</v>
      </c>
      <c r="AC17" s="48">
        <v>875.3</v>
      </c>
      <c r="AD17" s="49">
        <v>931.9</v>
      </c>
      <c r="AE17" s="48">
        <v>605.6</v>
      </c>
      <c r="AF17" s="48">
        <v>443.3</v>
      </c>
      <c r="AG17" s="48">
        <v>696.90000000000009</v>
      </c>
      <c r="AH17" s="49">
        <v>435.2</v>
      </c>
      <c r="AI17" s="48">
        <v>517.1</v>
      </c>
      <c r="AJ17" s="48">
        <v>26</v>
      </c>
      <c r="AK17" s="48">
        <v>115.3</v>
      </c>
      <c r="AL17" s="49">
        <v>81.5</v>
      </c>
      <c r="AM17" s="48">
        <v>75.400000000000006</v>
      </c>
      <c r="AN17" s="48">
        <v>124.9</v>
      </c>
      <c r="AO17" s="48">
        <v>459.5</v>
      </c>
      <c r="AP17" s="49">
        <v>195.4</v>
      </c>
      <c r="AQ17" s="48">
        <v>138.5</v>
      </c>
      <c r="AR17" s="48">
        <v>100.7</v>
      </c>
      <c r="AS17" s="48">
        <v>214.9</v>
      </c>
      <c r="AT17" s="49">
        <v>114.3</v>
      </c>
    </row>
    <row r="18" spans="1:46" s="172" customFormat="1" ht="11.25">
      <c r="A18" s="291" t="s">
        <v>274</v>
      </c>
      <c r="B18" s="291" t="s">
        <v>112</v>
      </c>
      <c r="C18" s="27">
        <v>111</v>
      </c>
      <c r="D18" s="28">
        <v>71.900000000000006</v>
      </c>
      <c r="E18" s="28">
        <f>50.2</f>
        <v>50.2</v>
      </c>
      <c r="F18" s="28">
        <v>115.5</v>
      </c>
      <c r="G18" s="27">
        <v>84.5</v>
      </c>
      <c r="H18" s="28">
        <v>153.19999999999999</v>
      </c>
      <c r="I18" s="28">
        <v>85.5</v>
      </c>
      <c r="J18" s="29">
        <v>84.100000000000009</v>
      </c>
      <c r="K18" s="27">
        <v>127.9</v>
      </c>
      <c r="L18" s="28">
        <v>141.39999999999998</v>
      </c>
      <c r="M18" s="28">
        <v>116.7</v>
      </c>
      <c r="N18" s="29">
        <v>93.100000000000009</v>
      </c>
      <c r="O18" s="27">
        <v>100.9</v>
      </c>
      <c r="P18" s="28">
        <v>158.1</v>
      </c>
      <c r="Q18" s="28">
        <v>108.8</v>
      </c>
      <c r="R18" s="29">
        <v>137.4</v>
      </c>
      <c r="S18" s="27">
        <v>107.39999999999999</v>
      </c>
      <c r="T18" s="28">
        <v>109.89999999999999</v>
      </c>
      <c r="U18" s="28">
        <v>112.1</v>
      </c>
      <c r="V18" s="29">
        <v>56.2</v>
      </c>
      <c r="W18" s="27">
        <v>127</v>
      </c>
      <c r="X18" s="28">
        <v>116.5</v>
      </c>
      <c r="Y18" s="28">
        <v>131.79999999999998</v>
      </c>
      <c r="Z18" s="29">
        <v>176.7</v>
      </c>
      <c r="AA18" s="27">
        <v>117.69999999999999</v>
      </c>
      <c r="AB18" s="28">
        <v>103.8</v>
      </c>
      <c r="AC18" s="28">
        <v>218.29999999999998</v>
      </c>
      <c r="AD18" s="29">
        <v>73.099999999999994</v>
      </c>
      <c r="AE18" s="28">
        <v>140.29999999999998</v>
      </c>
      <c r="AF18" s="28">
        <v>198.6</v>
      </c>
      <c r="AG18" s="28">
        <v>79.099999999999994</v>
      </c>
      <c r="AH18" s="29">
        <v>101</v>
      </c>
      <c r="AI18" s="28">
        <v>58.8</v>
      </c>
      <c r="AJ18" s="28">
        <v>125.80000000000001</v>
      </c>
      <c r="AK18" s="28">
        <v>58.8</v>
      </c>
      <c r="AL18" s="29">
        <v>63.5</v>
      </c>
      <c r="AM18" s="28">
        <v>58.9</v>
      </c>
      <c r="AN18" s="28">
        <v>39</v>
      </c>
      <c r="AO18" s="28">
        <v>74.7</v>
      </c>
      <c r="AP18" s="29">
        <v>188.7</v>
      </c>
      <c r="AQ18" s="28">
        <v>110</v>
      </c>
      <c r="AR18" s="28">
        <v>70.8</v>
      </c>
      <c r="AS18" s="28">
        <v>267.3</v>
      </c>
      <c r="AT18" s="29">
        <v>296.89999999999998</v>
      </c>
    </row>
    <row r="19" spans="1:46" s="176" customFormat="1" ht="11.25">
      <c r="A19" s="51" t="s">
        <v>278</v>
      </c>
      <c r="B19" s="51" t="s">
        <v>117</v>
      </c>
      <c r="C19" s="37">
        <f t="shared" ref="C19:AA19" si="25">C15+C18</f>
        <v>2997.5</v>
      </c>
      <c r="D19" s="38">
        <f t="shared" si="25"/>
        <v>2818.1000000000004</v>
      </c>
      <c r="E19" s="38">
        <f t="shared" si="25"/>
        <v>2449.8999999999996</v>
      </c>
      <c r="F19" s="38">
        <f t="shared" si="25"/>
        <v>2342.1999999999998</v>
      </c>
      <c r="G19" s="37">
        <f t="shared" si="25"/>
        <v>2498.6</v>
      </c>
      <c r="H19" s="38">
        <f t="shared" si="25"/>
        <v>3802.2</v>
      </c>
      <c r="I19" s="38">
        <f t="shared" si="25"/>
        <v>3351</v>
      </c>
      <c r="J19" s="39">
        <f t="shared" si="25"/>
        <v>4396.4000000000005</v>
      </c>
      <c r="K19" s="37">
        <f t="shared" si="25"/>
        <v>4990.7</v>
      </c>
      <c r="L19" s="38">
        <f t="shared" si="25"/>
        <v>4152.5</v>
      </c>
      <c r="M19" s="38">
        <f t="shared" si="25"/>
        <v>4327</v>
      </c>
      <c r="N19" s="39">
        <f t="shared" si="25"/>
        <v>3445.4999999999995</v>
      </c>
      <c r="O19" s="37">
        <f t="shared" si="25"/>
        <v>3147.7000000000003</v>
      </c>
      <c r="P19" s="38">
        <f t="shared" si="25"/>
        <v>3962.7000000000003</v>
      </c>
      <c r="Q19" s="38">
        <f t="shared" si="25"/>
        <v>3319.5</v>
      </c>
      <c r="R19" s="39">
        <f t="shared" si="25"/>
        <v>2726</v>
      </c>
      <c r="S19" s="37">
        <f t="shared" si="25"/>
        <v>2774.4</v>
      </c>
      <c r="T19" s="38">
        <f t="shared" si="25"/>
        <v>2772.2000000000003</v>
      </c>
      <c r="U19" s="38">
        <f t="shared" si="25"/>
        <v>2440.5</v>
      </c>
      <c r="V19" s="39">
        <f t="shared" si="25"/>
        <v>3010.7</v>
      </c>
      <c r="W19" s="37">
        <f t="shared" si="25"/>
        <v>3104.7</v>
      </c>
      <c r="X19" s="38">
        <f t="shared" si="25"/>
        <v>3719.4</v>
      </c>
      <c r="Y19" s="38">
        <f t="shared" si="25"/>
        <v>3209</v>
      </c>
      <c r="Z19" s="39">
        <f t="shared" si="25"/>
        <v>3544.6999999999994</v>
      </c>
      <c r="AA19" s="37">
        <f t="shared" si="25"/>
        <v>2440.6999999999998</v>
      </c>
      <c r="AB19" s="38">
        <f t="shared" ref="AB19:AG19" si="26">AB15+AB18</f>
        <v>2763</v>
      </c>
      <c r="AC19" s="38">
        <f t="shared" si="26"/>
        <v>3874.7000000000007</v>
      </c>
      <c r="AD19" s="39">
        <f t="shared" si="26"/>
        <v>3216.2</v>
      </c>
      <c r="AE19" s="38">
        <f t="shared" si="26"/>
        <v>2392.3000000000002</v>
      </c>
      <c r="AF19" s="38">
        <f t="shared" si="26"/>
        <v>2641.5</v>
      </c>
      <c r="AG19" s="38">
        <f t="shared" si="26"/>
        <v>2921.7999999999997</v>
      </c>
      <c r="AH19" s="39">
        <f t="shared" ref="AH19:AM19" si="27">AH15+AH18</f>
        <v>2243.7999999999997</v>
      </c>
      <c r="AI19" s="38">
        <f t="shared" si="27"/>
        <v>2426.3000000000002</v>
      </c>
      <c r="AJ19" s="38">
        <f t="shared" si="27"/>
        <v>2083.7000000000003</v>
      </c>
      <c r="AK19" s="38">
        <f t="shared" si="27"/>
        <v>2689.7000000000003</v>
      </c>
      <c r="AL19" s="39">
        <f t="shared" si="27"/>
        <v>2417.3000000000002</v>
      </c>
      <c r="AM19" s="38">
        <f t="shared" si="27"/>
        <v>2527.9</v>
      </c>
      <c r="AN19" s="38">
        <f t="shared" ref="AN19:AT19" si="28">AN15+AN18</f>
        <v>2700.1</v>
      </c>
      <c r="AO19" s="38">
        <f t="shared" si="28"/>
        <v>2775.5</v>
      </c>
      <c r="AP19" s="39">
        <f t="shared" si="28"/>
        <v>3617.9</v>
      </c>
      <c r="AQ19" s="38">
        <f t="shared" si="28"/>
        <v>2957.6</v>
      </c>
      <c r="AR19" s="38">
        <f t="shared" si="28"/>
        <v>4115.5</v>
      </c>
      <c r="AS19" s="38">
        <f t="shared" si="28"/>
        <v>3615.5000000000005</v>
      </c>
      <c r="AT19" s="38">
        <f t="shared" si="28"/>
        <v>4258.3999999999996</v>
      </c>
    </row>
    <row r="20" spans="1:46" s="17" customFormat="1" ht="11.25">
      <c r="A20" s="257"/>
      <c r="B20" s="257"/>
      <c r="C20" s="27"/>
      <c r="D20" s="28"/>
      <c r="E20" s="28"/>
      <c r="F20" s="28"/>
      <c r="G20" s="27"/>
      <c r="H20" s="28"/>
      <c r="I20" s="28"/>
      <c r="J20" s="29"/>
      <c r="K20" s="27"/>
      <c r="L20" s="28"/>
      <c r="M20" s="28"/>
      <c r="N20" s="29"/>
      <c r="O20" s="27"/>
      <c r="P20" s="28"/>
      <c r="Q20" s="28"/>
      <c r="R20" s="29"/>
      <c r="S20" s="27"/>
      <c r="T20" s="28"/>
      <c r="U20" s="28"/>
      <c r="V20" s="29"/>
      <c r="W20" s="27"/>
      <c r="X20" s="28"/>
      <c r="Y20" s="28"/>
      <c r="Z20" s="29"/>
      <c r="AA20" s="27"/>
      <c r="AB20" s="28"/>
      <c r="AC20" s="28"/>
      <c r="AD20" s="29"/>
      <c r="AE20" s="28"/>
      <c r="AF20" s="28"/>
      <c r="AG20" s="28"/>
      <c r="AH20" s="29"/>
      <c r="AI20" s="28"/>
      <c r="AJ20" s="28"/>
      <c r="AK20" s="28"/>
      <c r="AL20" s="29"/>
      <c r="AM20" s="28"/>
      <c r="AN20" s="28"/>
      <c r="AO20" s="28"/>
      <c r="AP20" s="29"/>
      <c r="AQ20" s="28"/>
      <c r="AR20" s="28"/>
      <c r="AS20" s="28"/>
      <c r="AT20" s="29"/>
    </row>
    <row r="21" spans="1:46" s="175" customFormat="1" ht="11.25">
      <c r="A21" s="50" t="s">
        <v>279</v>
      </c>
      <c r="B21" s="50" t="s">
        <v>118</v>
      </c>
      <c r="C21" s="27"/>
      <c r="D21" s="28"/>
      <c r="E21" s="28"/>
      <c r="F21" s="28"/>
      <c r="G21" s="27"/>
      <c r="H21" s="28"/>
      <c r="I21" s="28"/>
      <c r="J21" s="29"/>
      <c r="K21" s="27"/>
      <c r="L21" s="28"/>
      <c r="M21" s="28"/>
      <c r="N21" s="29"/>
      <c r="O21" s="27"/>
      <c r="P21" s="28"/>
      <c r="Q21" s="28"/>
      <c r="R21" s="29"/>
      <c r="S21" s="27"/>
      <c r="T21" s="28"/>
      <c r="U21" s="28"/>
      <c r="V21" s="29"/>
      <c r="W21" s="27"/>
      <c r="X21" s="28"/>
      <c r="Y21" s="28"/>
      <c r="Z21" s="29"/>
      <c r="AA21" s="27"/>
      <c r="AB21" s="28"/>
      <c r="AC21" s="28"/>
      <c r="AD21" s="29"/>
      <c r="AE21" s="28"/>
      <c r="AF21" s="28"/>
      <c r="AG21" s="28"/>
      <c r="AH21" s="29"/>
      <c r="AI21" s="28"/>
      <c r="AJ21" s="28"/>
      <c r="AK21" s="28"/>
      <c r="AL21" s="29"/>
      <c r="AM21" s="28"/>
      <c r="AN21" s="28"/>
      <c r="AO21" s="28"/>
      <c r="AP21" s="29"/>
      <c r="AQ21" s="28"/>
      <c r="AR21" s="28"/>
      <c r="AS21" s="28"/>
      <c r="AT21" s="29"/>
    </row>
    <row r="22" spans="1:46" s="175" customFormat="1" ht="11.25">
      <c r="A22" s="35"/>
      <c r="B22" s="35"/>
      <c r="C22" s="27"/>
      <c r="D22" s="28"/>
      <c r="E22" s="28"/>
      <c r="F22" s="28"/>
      <c r="G22" s="27"/>
      <c r="H22" s="28"/>
      <c r="I22" s="28"/>
      <c r="J22" s="29"/>
      <c r="K22" s="27"/>
      <c r="L22" s="28"/>
      <c r="M22" s="28"/>
      <c r="N22" s="29"/>
      <c r="O22" s="27"/>
      <c r="P22" s="28"/>
      <c r="Q22" s="28"/>
      <c r="R22" s="29"/>
      <c r="S22" s="27"/>
      <c r="T22" s="28"/>
      <c r="U22" s="28"/>
      <c r="V22" s="29"/>
      <c r="W22" s="27"/>
      <c r="X22" s="28"/>
      <c r="Y22" s="28"/>
      <c r="Z22" s="29"/>
      <c r="AA22" s="27"/>
      <c r="AB22" s="28"/>
      <c r="AC22" s="28"/>
      <c r="AD22" s="29"/>
      <c r="AE22" s="28"/>
      <c r="AF22" s="28"/>
      <c r="AG22" s="28"/>
      <c r="AH22" s="29"/>
      <c r="AI22" s="28"/>
      <c r="AJ22" s="28"/>
      <c r="AK22" s="28"/>
      <c r="AL22" s="29"/>
      <c r="AM22" s="28"/>
      <c r="AN22" s="28"/>
      <c r="AO22" s="28"/>
      <c r="AP22" s="29"/>
      <c r="AQ22" s="28"/>
      <c r="AR22" s="28"/>
      <c r="AS22" s="28"/>
      <c r="AT22" s="29"/>
    </row>
    <row r="23" spans="1:46" s="175" customFormat="1" ht="11.25">
      <c r="A23" s="50" t="s">
        <v>457</v>
      </c>
      <c r="B23" s="50" t="s">
        <v>427</v>
      </c>
      <c r="C23" s="32">
        <f t="shared" ref="C23:AF23" si="29">SUM(C27,C24)</f>
        <v>10876.6</v>
      </c>
      <c r="D23" s="33">
        <f t="shared" si="29"/>
        <v>10972.900000000001</v>
      </c>
      <c r="E23" s="33">
        <f t="shared" si="29"/>
        <v>11286.9</v>
      </c>
      <c r="F23" s="33">
        <f t="shared" si="29"/>
        <v>13085.8</v>
      </c>
      <c r="G23" s="32">
        <f t="shared" si="29"/>
        <v>12080.900000000001</v>
      </c>
      <c r="H23" s="33">
        <f t="shared" si="29"/>
        <v>12392.6</v>
      </c>
      <c r="I23" s="33">
        <f t="shared" si="29"/>
        <v>12806.800000000001</v>
      </c>
      <c r="J23" s="34">
        <f t="shared" si="29"/>
        <v>11600</v>
      </c>
      <c r="K23" s="32">
        <f t="shared" si="29"/>
        <v>10613.1</v>
      </c>
      <c r="L23" s="33">
        <f t="shared" si="29"/>
        <v>10476.799999999999</v>
      </c>
      <c r="M23" s="33">
        <f t="shared" si="29"/>
        <v>11467.800000000001</v>
      </c>
      <c r="N23" s="34">
        <f t="shared" si="29"/>
        <v>12260.400000000001</v>
      </c>
      <c r="O23" s="32">
        <f t="shared" si="29"/>
        <v>12097.1</v>
      </c>
      <c r="P23" s="33">
        <f t="shared" si="29"/>
        <v>11531.400000000001</v>
      </c>
      <c r="Q23" s="33">
        <f t="shared" si="29"/>
        <v>11952.799999999997</v>
      </c>
      <c r="R23" s="34">
        <f t="shared" si="29"/>
        <v>12858.099999999999</v>
      </c>
      <c r="S23" s="32">
        <f t="shared" si="29"/>
        <v>11553.1</v>
      </c>
      <c r="T23" s="33">
        <f t="shared" si="29"/>
        <v>12538.5</v>
      </c>
      <c r="U23" s="33">
        <f t="shared" si="29"/>
        <v>13579.2</v>
      </c>
      <c r="V23" s="34">
        <f t="shared" si="29"/>
        <v>14263.400000000001</v>
      </c>
      <c r="W23" s="32">
        <f t="shared" si="29"/>
        <v>13893.2</v>
      </c>
      <c r="X23" s="33">
        <f t="shared" si="29"/>
        <v>13569.4</v>
      </c>
      <c r="Y23" s="33">
        <f t="shared" si="29"/>
        <v>13912</v>
      </c>
      <c r="Z23" s="34">
        <f t="shared" si="29"/>
        <v>14567.4</v>
      </c>
      <c r="AA23" s="32">
        <f t="shared" si="29"/>
        <v>14314.4</v>
      </c>
      <c r="AB23" s="33">
        <f t="shared" si="29"/>
        <v>16619</v>
      </c>
      <c r="AC23" s="33">
        <f t="shared" si="29"/>
        <v>17472.3</v>
      </c>
      <c r="AD23" s="34">
        <f t="shared" si="29"/>
        <v>18602.399999999998</v>
      </c>
      <c r="AE23" s="33">
        <f t="shared" si="29"/>
        <v>17512.599999999999</v>
      </c>
      <c r="AF23" s="33">
        <f t="shared" si="29"/>
        <v>19136.700000000004</v>
      </c>
      <c r="AG23" s="33">
        <f t="shared" ref="AG23:AL23" si="30">SUM(AG27,AG24)</f>
        <v>19702.2</v>
      </c>
      <c r="AH23" s="34">
        <f t="shared" si="30"/>
        <v>21260.500000000004</v>
      </c>
      <c r="AI23" s="33">
        <f t="shared" si="30"/>
        <v>20717.899999999998</v>
      </c>
      <c r="AJ23" s="33">
        <f t="shared" si="30"/>
        <v>22162.2</v>
      </c>
      <c r="AK23" s="33">
        <f t="shared" si="30"/>
        <v>23347.8</v>
      </c>
      <c r="AL23" s="34">
        <f t="shared" si="30"/>
        <v>24792.899999999998</v>
      </c>
      <c r="AM23" s="33">
        <f t="shared" ref="AM23:AT23" si="31">SUM(AM27,AM24)</f>
        <v>24268.7</v>
      </c>
      <c r="AN23" s="33">
        <f t="shared" si="31"/>
        <v>25447.600000000002</v>
      </c>
      <c r="AO23" s="33">
        <f t="shared" si="31"/>
        <v>25975.1</v>
      </c>
      <c r="AP23" s="34">
        <f t="shared" si="31"/>
        <v>26840.9</v>
      </c>
      <c r="AQ23" s="33">
        <f t="shared" si="31"/>
        <v>26273.1</v>
      </c>
      <c r="AR23" s="33">
        <f t="shared" si="31"/>
        <v>26682.799999999999</v>
      </c>
      <c r="AS23" s="33">
        <f t="shared" si="31"/>
        <v>26965.5</v>
      </c>
      <c r="AT23" s="33">
        <f t="shared" si="31"/>
        <v>30438.2</v>
      </c>
    </row>
    <row r="24" spans="1:46" s="175" customFormat="1" ht="11.25">
      <c r="A24" s="35" t="s">
        <v>472</v>
      </c>
      <c r="B24" s="35" t="s">
        <v>428</v>
      </c>
      <c r="C24" s="27">
        <f t="shared" ref="C24:AF24" si="32">SUM(C25:C26)</f>
        <v>10570.4</v>
      </c>
      <c r="D24" s="28">
        <f t="shared" si="32"/>
        <v>10703.7</v>
      </c>
      <c r="E24" s="28">
        <f t="shared" si="32"/>
        <v>10969.1</v>
      </c>
      <c r="F24" s="28">
        <f t="shared" si="32"/>
        <v>12760.8</v>
      </c>
      <c r="G24" s="27">
        <f t="shared" si="32"/>
        <v>11704.400000000001</v>
      </c>
      <c r="H24" s="28">
        <f t="shared" si="32"/>
        <v>12007.7</v>
      </c>
      <c r="I24" s="28">
        <f t="shared" si="32"/>
        <v>12316.2</v>
      </c>
      <c r="J24" s="29">
        <f t="shared" si="32"/>
        <v>11173.5</v>
      </c>
      <c r="K24" s="27">
        <f t="shared" si="32"/>
        <v>10094</v>
      </c>
      <c r="L24" s="28">
        <f t="shared" si="32"/>
        <v>9973</v>
      </c>
      <c r="M24" s="28">
        <f t="shared" si="32"/>
        <v>10922.900000000001</v>
      </c>
      <c r="N24" s="29">
        <f t="shared" si="32"/>
        <v>11861.7</v>
      </c>
      <c r="O24" s="27">
        <f t="shared" si="32"/>
        <v>11717.6</v>
      </c>
      <c r="P24" s="28">
        <f t="shared" si="32"/>
        <v>11136.7</v>
      </c>
      <c r="Q24" s="28">
        <f t="shared" si="32"/>
        <v>11554.999999999998</v>
      </c>
      <c r="R24" s="29">
        <f t="shared" si="32"/>
        <v>12483.599999999999</v>
      </c>
      <c r="S24" s="27">
        <f t="shared" si="32"/>
        <v>11140</v>
      </c>
      <c r="T24" s="28">
        <f t="shared" si="32"/>
        <v>12110.7</v>
      </c>
      <c r="U24" s="28">
        <f t="shared" si="32"/>
        <v>13100.1</v>
      </c>
      <c r="V24" s="29">
        <f t="shared" si="32"/>
        <v>13887.300000000001</v>
      </c>
      <c r="W24" s="27">
        <f t="shared" si="32"/>
        <v>13203.2</v>
      </c>
      <c r="X24" s="28">
        <f t="shared" si="32"/>
        <v>12810.1</v>
      </c>
      <c r="Y24" s="28">
        <f t="shared" si="32"/>
        <v>13132.6</v>
      </c>
      <c r="Z24" s="29">
        <f t="shared" si="32"/>
        <v>13739.9</v>
      </c>
      <c r="AA24" s="27">
        <f t="shared" si="32"/>
        <v>13459.1</v>
      </c>
      <c r="AB24" s="28">
        <f t="shared" si="32"/>
        <v>15738.599999999999</v>
      </c>
      <c r="AC24" s="28">
        <f t="shared" si="32"/>
        <v>16618.3</v>
      </c>
      <c r="AD24" s="29">
        <f t="shared" si="32"/>
        <v>17746.3</v>
      </c>
      <c r="AE24" s="28">
        <f t="shared" si="32"/>
        <v>16705.3</v>
      </c>
      <c r="AF24" s="28">
        <f t="shared" si="32"/>
        <v>18207.300000000003</v>
      </c>
      <c r="AG24" s="28">
        <f t="shared" ref="AG24:AL24" si="33">SUM(AG25:AG26)</f>
        <v>18690.5</v>
      </c>
      <c r="AH24" s="29">
        <f t="shared" si="33"/>
        <v>20177.300000000003</v>
      </c>
      <c r="AI24" s="28">
        <f t="shared" si="33"/>
        <v>19777.599999999999</v>
      </c>
      <c r="AJ24" s="28">
        <f t="shared" si="33"/>
        <v>21154.3</v>
      </c>
      <c r="AK24" s="28">
        <f t="shared" si="33"/>
        <v>22258.5</v>
      </c>
      <c r="AL24" s="29">
        <f t="shared" si="33"/>
        <v>23594.199999999997</v>
      </c>
      <c r="AM24" s="28">
        <f t="shared" ref="AM24:AT24" si="34">SUM(AM25:AM26)</f>
        <v>23122.5</v>
      </c>
      <c r="AN24" s="28">
        <f t="shared" si="34"/>
        <v>23805.9</v>
      </c>
      <c r="AO24" s="28">
        <f t="shared" si="34"/>
        <v>24618.5</v>
      </c>
      <c r="AP24" s="29">
        <f t="shared" si="34"/>
        <v>25395.4</v>
      </c>
      <c r="AQ24" s="28">
        <f t="shared" si="34"/>
        <v>24901.1</v>
      </c>
      <c r="AR24" s="28">
        <f t="shared" si="34"/>
        <v>25099.7</v>
      </c>
      <c r="AS24" s="28">
        <f t="shared" si="34"/>
        <v>25826.9</v>
      </c>
      <c r="AT24" s="28">
        <f t="shared" si="34"/>
        <v>29196.5</v>
      </c>
    </row>
    <row r="25" spans="1:46" s="178" customFormat="1" ht="11.25">
      <c r="A25" s="46" t="s">
        <v>473</v>
      </c>
      <c r="B25" s="46" t="s">
        <v>115</v>
      </c>
      <c r="C25" s="47">
        <v>5611.5</v>
      </c>
      <c r="D25" s="48">
        <v>6202.7</v>
      </c>
      <c r="E25" s="48">
        <v>6353.8</v>
      </c>
      <c r="F25" s="48">
        <v>7970.4</v>
      </c>
      <c r="G25" s="47">
        <v>6808.1</v>
      </c>
      <c r="H25" s="48">
        <v>7124.1</v>
      </c>
      <c r="I25" s="48">
        <v>7482.4</v>
      </c>
      <c r="J25" s="49">
        <v>7292.1</v>
      </c>
      <c r="K25" s="47">
        <v>5979.3</v>
      </c>
      <c r="L25" s="48">
        <v>5985</v>
      </c>
      <c r="M25" s="48">
        <v>6214.7000000000007</v>
      </c>
      <c r="N25" s="49">
        <v>6418.5</v>
      </c>
      <c r="O25" s="47">
        <v>7328.5</v>
      </c>
      <c r="P25" s="48">
        <v>6996.5</v>
      </c>
      <c r="Q25" s="48">
        <v>7044.1999999999989</v>
      </c>
      <c r="R25" s="49">
        <v>7688.7</v>
      </c>
      <c r="S25" s="47">
        <v>6864.8</v>
      </c>
      <c r="T25" s="48">
        <v>7566.4</v>
      </c>
      <c r="U25" s="48">
        <v>8153</v>
      </c>
      <c r="V25" s="49">
        <v>8842.9000000000015</v>
      </c>
      <c r="W25" s="47">
        <v>7619.2</v>
      </c>
      <c r="X25" s="48">
        <v>7487.2000000000007</v>
      </c>
      <c r="Y25" s="48">
        <v>7733.6</v>
      </c>
      <c r="Z25" s="49">
        <v>8410.4</v>
      </c>
      <c r="AA25" s="47">
        <v>7605.6</v>
      </c>
      <c r="AB25" s="48">
        <v>8979.2999999999993</v>
      </c>
      <c r="AC25" s="48">
        <v>10185.599999999999</v>
      </c>
      <c r="AD25" s="49">
        <v>10756.099999999999</v>
      </c>
      <c r="AE25" s="48">
        <v>9393.4</v>
      </c>
      <c r="AF25" s="48">
        <v>10590.6</v>
      </c>
      <c r="AG25" s="48">
        <v>10853.1</v>
      </c>
      <c r="AH25" s="49">
        <v>10641.5</v>
      </c>
      <c r="AI25" s="48">
        <v>10648.5</v>
      </c>
      <c r="AJ25" s="48">
        <v>11638.5</v>
      </c>
      <c r="AK25" s="48">
        <v>12693.5</v>
      </c>
      <c r="AL25" s="49">
        <v>13123.8</v>
      </c>
      <c r="AM25" s="48">
        <v>12346.1</v>
      </c>
      <c r="AN25" s="48">
        <v>12577.6</v>
      </c>
      <c r="AO25" s="48">
        <v>13431.2</v>
      </c>
      <c r="AP25" s="49">
        <v>15542.2</v>
      </c>
      <c r="AQ25" s="48">
        <v>15262.4</v>
      </c>
      <c r="AR25" s="48">
        <v>15951.6</v>
      </c>
      <c r="AS25" s="48">
        <f>16323.9</f>
        <v>16323.9</v>
      </c>
      <c r="AT25" s="49">
        <v>18337.599999999999</v>
      </c>
    </row>
    <row r="26" spans="1:46" s="178" customFormat="1" ht="11.25">
      <c r="A26" s="46" t="s">
        <v>500</v>
      </c>
      <c r="B26" s="46" t="s">
        <v>499</v>
      </c>
      <c r="C26" s="47">
        <v>4958.8999999999996</v>
      </c>
      <c r="D26" s="48">
        <v>4501</v>
      </c>
      <c r="E26" s="48">
        <v>4615.3</v>
      </c>
      <c r="F26" s="48">
        <v>4790.3999999999996</v>
      </c>
      <c r="G26" s="47">
        <v>4896.3</v>
      </c>
      <c r="H26" s="48">
        <v>4883.6000000000004</v>
      </c>
      <c r="I26" s="48">
        <v>4833.8</v>
      </c>
      <c r="J26" s="49">
        <v>3881.4</v>
      </c>
      <c r="K26" s="47">
        <v>4114.7</v>
      </c>
      <c r="L26" s="48">
        <v>3988</v>
      </c>
      <c r="M26" s="48">
        <v>4708.2000000000007</v>
      </c>
      <c r="N26" s="49">
        <v>5443.2</v>
      </c>
      <c r="O26" s="47">
        <v>4389.1000000000004</v>
      </c>
      <c r="P26" s="48">
        <v>4140.2</v>
      </c>
      <c r="Q26" s="48">
        <v>4510.7999999999993</v>
      </c>
      <c r="R26" s="49">
        <v>4794.8999999999996</v>
      </c>
      <c r="S26" s="47">
        <v>4275.2</v>
      </c>
      <c r="T26" s="48">
        <v>4544.3</v>
      </c>
      <c r="U26" s="48">
        <v>4947.1000000000004</v>
      </c>
      <c r="V26" s="49">
        <v>5044.3999999999996</v>
      </c>
      <c r="W26" s="47">
        <v>5584</v>
      </c>
      <c r="X26" s="48">
        <v>5322.9</v>
      </c>
      <c r="Y26" s="48">
        <v>5399</v>
      </c>
      <c r="Z26" s="49">
        <v>5329.5</v>
      </c>
      <c r="AA26" s="47">
        <v>5853.5</v>
      </c>
      <c r="AB26" s="48">
        <v>6759.3</v>
      </c>
      <c r="AC26" s="48">
        <v>6432.7</v>
      </c>
      <c r="AD26" s="49">
        <v>6990.2000000000007</v>
      </c>
      <c r="AE26" s="48">
        <v>7311.9</v>
      </c>
      <c r="AF26" s="48">
        <v>7616.7000000000007</v>
      </c>
      <c r="AG26" s="48">
        <f>5482+2355.4</f>
        <v>7837.4</v>
      </c>
      <c r="AH26" s="49">
        <v>9535.8000000000011</v>
      </c>
      <c r="AI26" s="48">
        <v>9129.1</v>
      </c>
      <c r="AJ26" s="48">
        <v>9515.7999999999993</v>
      </c>
      <c r="AK26" s="48">
        <v>9565</v>
      </c>
      <c r="AL26" s="49">
        <v>10470.4</v>
      </c>
      <c r="AM26" s="48">
        <v>10776.4</v>
      </c>
      <c r="AN26" s="48">
        <v>11228.3</v>
      </c>
      <c r="AO26" s="48">
        <v>11187.3</v>
      </c>
      <c r="AP26" s="49">
        <f>8414.4+1438.8</f>
        <v>9853.1999999999989</v>
      </c>
      <c r="AQ26" s="48">
        <f>7932.5+1706.2</f>
        <v>9638.7000000000007</v>
      </c>
      <c r="AR26" s="48">
        <f>7798.7+1349.4</f>
        <v>9148.1</v>
      </c>
      <c r="AS26" s="48">
        <f>8126.8+1376.2</f>
        <v>9503</v>
      </c>
      <c r="AT26" s="49">
        <f>8405.8+2453.1</f>
        <v>10858.9</v>
      </c>
    </row>
    <row r="27" spans="1:46" s="175" customFormat="1" ht="11.25">
      <c r="A27" s="35" t="s">
        <v>198</v>
      </c>
      <c r="B27" s="35" t="s">
        <v>429</v>
      </c>
      <c r="C27" s="27">
        <v>306.20000000000005</v>
      </c>
      <c r="D27" s="28">
        <v>269.19999999999993</v>
      </c>
      <c r="E27" s="28">
        <v>317.79999999999984</v>
      </c>
      <c r="F27" s="28">
        <v>325</v>
      </c>
      <c r="G27" s="27">
        <v>376.5</v>
      </c>
      <c r="H27" s="28">
        <v>384.9</v>
      </c>
      <c r="I27" s="28">
        <v>490.6</v>
      </c>
      <c r="J27" s="29">
        <v>426.5</v>
      </c>
      <c r="K27" s="27">
        <v>519.09999999999991</v>
      </c>
      <c r="L27" s="28">
        <v>503.79999999999995</v>
      </c>
      <c r="M27" s="28">
        <v>544.9</v>
      </c>
      <c r="N27" s="29">
        <v>398.7</v>
      </c>
      <c r="O27" s="27">
        <v>379.5</v>
      </c>
      <c r="P27" s="28">
        <v>394.7</v>
      </c>
      <c r="Q27" s="28">
        <v>397.8</v>
      </c>
      <c r="R27" s="29">
        <v>374.5</v>
      </c>
      <c r="S27" s="27">
        <v>413.1</v>
      </c>
      <c r="T27" s="28">
        <v>427.8</v>
      </c>
      <c r="U27" s="28">
        <v>479.09999999999997</v>
      </c>
      <c r="V27" s="29">
        <v>376.1</v>
      </c>
      <c r="W27" s="27">
        <v>690</v>
      </c>
      <c r="X27" s="28">
        <v>759.30000000000007</v>
      </c>
      <c r="Y27" s="28">
        <v>779.40000000000009</v>
      </c>
      <c r="Z27" s="29">
        <v>827.5</v>
      </c>
      <c r="AA27" s="27">
        <v>855.30000000000007</v>
      </c>
      <c r="AB27" s="28">
        <v>880.4</v>
      </c>
      <c r="AC27" s="28">
        <v>854.00000000000011</v>
      </c>
      <c r="AD27" s="29">
        <v>856.1</v>
      </c>
      <c r="AE27" s="28">
        <v>807.30000000000007</v>
      </c>
      <c r="AF27" s="28">
        <v>929.40000000000009</v>
      </c>
      <c r="AG27" s="28">
        <v>1011.7</v>
      </c>
      <c r="AH27" s="29">
        <v>1083.2</v>
      </c>
      <c r="AI27" s="28">
        <v>940.3</v>
      </c>
      <c r="AJ27" s="28">
        <v>1007.9</v>
      </c>
      <c r="AK27" s="28">
        <v>1089.3</v>
      </c>
      <c r="AL27" s="29">
        <v>1198.7</v>
      </c>
      <c r="AM27" s="28">
        <v>1146.2</v>
      </c>
      <c r="AN27" s="28">
        <v>1641.7</v>
      </c>
      <c r="AO27" s="28">
        <v>1356.6</v>
      </c>
      <c r="AP27" s="29">
        <v>1445.5</v>
      </c>
      <c r="AQ27" s="28">
        <v>1372</v>
      </c>
      <c r="AR27" s="28">
        <v>1583.1</v>
      </c>
      <c r="AS27" s="28">
        <v>1138.5999999999999</v>
      </c>
      <c r="AT27" s="29">
        <v>1241.7</v>
      </c>
    </row>
    <row r="28" spans="1:46" s="175" customFormat="1" ht="11.25">
      <c r="A28" s="50" t="s">
        <v>460</v>
      </c>
      <c r="B28" s="50" t="s">
        <v>430</v>
      </c>
      <c r="C28" s="32">
        <f t="shared" ref="C28:AF28" si="35">SUM(C32,C29)</f>
        <v>22568.300000000003</v>
      </c>
      <c r="D28" s="33">
        <f t="shared" si="35"/>
        <v>22339.8</v>
      </c>
      <c r="E28" s="33">
        <f t="shared" si="35"/>
        <v>23625.7</v>
      </c>
      <c r="F28" s="33">
        <f t="shared" si="35"/>
        <v>25639.5</v>
      </c>
      <c r="G28" s="32">
        <f t="shared" si="35"/>
        <v>27729.800000000003</v>
      </c>
      <c r="H28" s="33">
        <f t="shared" si="35"/>
        <v>28360.799999999999</v>
      </c>
      <c r="I28" s="33">
        <f t="shared" si="35"/>
        <v>32281.5</v>
      </c>
      <c r="J28" s="34">
        <f t="shared" si="35"/>
        <v>28011.299999999996</v>
      </c>
      <c r="K28" s="32">
        <f t="shared" si="35"/>
        <v>28541</v>
      </c>
      <c r="L28" s="33">
        <f t="shared" si="35"/>
        <v>29424.6</v>
      </c>
      <c r="M28" s="33">
        <f t="shared" si="35"/>
        <v>29025.399999999998</v>
      </c>
      <c r="N28" s="34">
        <f t="shared" si="35"/>
        <v>30103.9</v>
      </c>
      <c r="O28" s="32">
        <f t="shared" si="35"/>
        <v>28936.6</v>
      </c>
      <c r="P28" s="33">
        <f t="shared" si="35"/>
        <v>29014.100000000002</v>
      </c>
      <c r="Q28" s="33">
        <f t="shared" si="35"/>
        <v>29629.5</v>
      </c>
      <c r="R28" s="34">
        <f t="shared" si="35"/>
        <v>30167.199999999997</v>
      </c>
      <c r="S28" s="32">
        <f t="shared" si="35"/>
        <v>30248.199999999997</v>
      </c>
      <c r="T28" s="33">
        <f t="shared" si="35"/>
        <v>31261.399999999998</v>
      </c>
      <c r="U28" s="33">
        <f t="shared" si="35"/>
        <v>32475.5</v>
      </c>
      <c r="V28" s="34">
        <f t="shared" si="35"/>
        <v>33481.799999999996</v>
      </c>
      <c r="W28" s="32">
        <f t="shared" si="35"/>
        <v>33741.700000000004</v>
      </c>
      <c r="X28" s="33">
        <f t="shared" si="35"/>
        <v>35249</v>
      </c>
      <c r="Y28" s="33">
        <f t="shared" si="35"/>
        <v>36136.899999999994</v>
      </c>
      <c r="Z28" s="34">
        <f t="shared" si="35"/>
        <v>37683.700000000004</v>
      </c>
      <c r="AA28" s="32">
        <f t="shared" si="35"/>
        <v>39435.100000000006</v>
      </c>
      <c r="AB28" s="33">
        <f t="shared" si="35"/>
        <v>40852.799999999996</v>
      </c>
      <c r="AC28" s="33">
        <f t="shared" si="35"/>
        <v>43104.399999999994</v>
      </c>
      <c r="AD28" s="34">
        <f t="shared" si="35"/>
        <v>43628.9</v>
      </c>
      <c r="AE28" s="33">
        <f t="shared" si="35"/>
        <v>45098.3</v>
      </c>
      <c r="AF28" s="33">
        <f t="shared" si="35"/>
        <v>45989.7</v>
      </c>
      <c r="AG28" s="33">
        <f t="shared" ref="AG28:AL28" si="36">SUM(AG32,AG29)</f>
        <v>47130.400000000001</v>
      </c>
      <c r="AH28" s="34">
        <f t="shared" si="36"/>
        <v>50278.799999999988</v>
      </c>
      <c r="AI28" s="33">
        <f t="shared" si="36"/>
        <v>52507.9</v>
      </c>
      <c r="AJ28" s="33">
        <f t="shared" si="36"/>
        <v>54780.3</v>
      </c>
      <c r="AK28" s="33">
        <f t="shared" si="36"/>
        <v>56001</v>
      </c>
      <c r="AL28" s="34">
        <f t="shared" si="36"/>
        <v>58976.399999999994</v>
      </c>
      <c r="AM28" s="33">
        <f t="shared" ref="AM28:AT28" si="37">SUM(AM32,AM29)</f>
        <v>61808.6</v>
      </c>
      <c r="AN28" s="33">
        <f t="shared" si="37"/>
        <v>63074.2</v>
      </c>
      <c r="AO28" s="33">
        <f t="shared" si="37"/>
        <v>61597.2</v>
      </c>
      <c r="AP28" s="34">
        <f t="shared" si="37"/>
        <v>63615.6</v>
      </c>
      <c r="AQ28" s="33">
        <f t="shared" si="37"/>
        <v>64809.599999999999</v>
      </c>
      <c r="AR28" s="33">
        <f t="shared" si="37"/>
        <v>65147.400000000009</v>
      </c>
      <c r="AS28" s="33">
        <f t="shared" si="37"/>
        <v>65567.199999999997</v>
      </c>
      <c r="AT28" s="33">
        <f t="shared" si="37"/>
        <v>68000.599999999991</v>
      </c>
    </row>
    <row r="29" spans="1:46" s="175" customFormat="1" ht="11.25">
      <c r="A29" s="35" t="s">
        <v>472</v>
      </c>
      <c r="B29" s="35" t="s">
        <v>114</v>
      </c>
      <c r="C29" s="27">
        <f t="shared" ref="C29:AF29" si="38">SUM(C30:C31)</f>
        <v>22505.9</v>
      </c>
      <c r="D29" s="28">
        <f t="shared" si="38"/>
        <v>22032.899999999998</v>
      </c>
      <c r="E29" s="28">
        <f t="shared" si="38"/>
        <v>23343.200000000001</v>
      </c>
      <c r="F29" s="28">
        <f t="shared" si="38"/>
        <v>25392.6</v>
      </c>
      <c r="G29" s="27">
        <f t="shared" si="38"/>
        <v>27654.9</v>
      </c>
      <c r="H29" s="28">
        <f t="shared" si="38"/>
        <v>28277.399999999998</v>
      </c>
      <c r="I29" s="28">
        <f t="shared" si="38"/>
        <v>32225</v>
      </c>
      <c r="J29" s="29">
        <f t="shared" si="38"/>
        <v>27945.699999999997</v>
      </c>
      <c r="K29" s="27">
        <f t="shared" si="38"/>
        <v>28475.8</v>
      </c>
      <c r="L29" s="28">
        <f t="shared" si="38"/>
        <v>29363.1</v>
      </c>
      <c r="M29" s="28">
        <f t="shared" si="38"/>
        <v>28963.399999999998</v>
      </c>
      <c r="N29" s="29">
        <f t="shared" si="38"/>
        <v>30039.7</v>
      </c>
      <c r="O29" s="27">
        <f t="shared" si="38"/>
        <v>28875.8</v>
      </c>
      <c r="P29" s="28">
        <f t="shared" si="38"/>
        <v>28969.9</v>
      </c>
      <c r="Q29" s="28">
        <f t="shared" si="38"/>
        <v>29558</v>
      </c>
      <c r="R29" s="29">
        <f t="shared" si="38"/>
        <v>30117.699999999997</v>
      </c>
      <c r="S29" s="27">
        <f t="shared" si="38"/>
        <v>30146.6</v>
      </c>
      <c r="T29" s="28">
        <f t="shared" si="38"/>
        <v>31154.799999999999</v>
      </c>
      <c r="U29" s="28">
        <f t="shared" si="38"/>
        <v>32412.1</v>
      </c>
      <c r="V29" s="29">
        <f t="shared" si="38"/>
        <v>33434.699999999997</v>
      </c>
      <c r="W29" s="27">
        <f t="shared" si="38"/>
        <v>33696.9</v>
      </c>
      <c r="X29" s="28">
        <f t="shared" si="38"/>
        <v>35197.300000000003</v>
      </c>
      <c r="Y29" s="28">
        <f t="shared" si="38"/>
        <v>36082.699999999997</v>
      </c>
      <c r="Z29" s="29">
        <f t="shared" si="38"/>
        <v>37627.700000000004</v>
      </c>
      <c r="AA29" s="27">
        <f t="shared" si="38"/>
        <v>39370.300000000003</v>
      </c>
      <c r="AB29" s="28">
        <f t="shared" si="38"/>
        <v>40795.799999999996</v>
      </c>
      <c r="AC29" s="28">
        <f t="shared" si="38"/>
        <v>43042.2</v>
      </c>
      <c r="AD29" s="29">
        <f t="shared" si="38"/>
        <v>43563.8</v>
      </c>
      <c r="AE29" s="28">
        <f t="shared" si="38"/>
        <v>45038.3</v>
      </c>
      <c r="AF29" s="28">
        <f t="shared" si="38"/>
        <v>45910.299999999996</v>
      </c>
      <c r="AG29" s="28">
        <f t="shared" ref="AG29:AL29" si="39">SUM(AG30:AG31)</f>
        <v>47067.8</v>
      </c>
      <c r="AH29" s="29">
        <f t="shared" si="39"/>
        <v>50217.099999999991</v>
      </c>
      <c r="AI29" s="28">
        <f t="shared" si="39"/>
        <v>52442</v>
      </c>
      <c r="AJ29" s="28">
        <f t="shared" si="39"/>
        <v>54687.9</v>
      </c>
      <c r="AK29" s="28">
        <f t="shared" si="39"/>
        <v>55918</v>
      </c>
      <c r="AL29" s="29">
        <f t="shared" si="39"/>
        <v>58896.2</v>
      </c>
      <c r="AM29" s="28">
        <f t="shared" ref="AM29:AT29" si="40">SUM(AM30:AM31)</f>
        <v>61729.1</v>
      </c>
      <c r="AN29" s="28">
        <f t="shared" si="40"/>
        <v>63008.799999999996</v>
      </c>
      <c r="AO29" s="28">
        <f t="shared" si="40"/>
        <v>61521</v>
      </c>
      <c r="AP29" s="29">
        <f t="shared" si="40"/>
        <v>63548</v>
      </c>
      <c r="AQ29" s="28">
        <f t="shared" si="40"/>
        <v>64744</v>
      </c>
      <c r="AR29" s="28">
        <f t="shared" si="40"/>
        <v>65081.100000000006</v>
      </c>
      <c r="AS29" s="28">
        <f t="shared" si="40"/>
        <v>65488.6</v>
      </c>
      <c r="AT29" s="28">
        <f t="shared" si="40"/>
        <v>67918.7</v>
      </c>
    </row>
    <row r="30" spans="1:46" s="196" customFormat="1" ht="11.25">
      <c r="A30" s="292" t="s">
        <v>473</v>
      </c>
      <c r="B30" s="292" t="s">
        <v>115</v>
      </c>
      <c r="C30" s="47">
        <v>3030</v>
      </c>
      <c r="D30" s="48">
        <v>2999.1</v>
      </c>
      <c r="E30" s="48">
        <v>2254.1</v>
      </c>
      <c r="F30" s="48">
        <v>2603.8000000000002</v>
      </c>
      <c r="G30" s="47">
        <v>3482.7</v>
      </c>
      <c r="H30" s="48">
        <v>3582.6</v>
      </c>
      <c r="I30" s="48">
        <v>2313.1</v>
      </c>
      <c r="J30" s="49">
        <v>3796.1</v>
      </c>
      <c r="K30" s="47">
        <v>3711.3</v>
      </c>
      <c r="L30" s="48">
        <v>3858.3</v>
      </c>
      <c r="M30" s="48">
        <v>3847.6</v>
      </c>
      <c r="N30" s="49">
        <v>4122.2</v>
      </c>
      <c r="O30" s="47">
        <v>3957.1</v>
      </c>
      <c r="P30" s="48">
        <v>4239.1000000000004</v>
      </c>
      <c r="Q30" s="48">
        <v>4257.5</v>
      </c>
      <c r="R30" s="49">
        <v>4792.3999999999996</v>
      </c>
      <c r="S30" s="47">
        <v>4926.8999999999996</v>
      </c>
      <c r="T30" s="48">
        <v>4957.8</v>
      </c>
      <c r="U30" s="48">
        <v>4880.8</v>
      </c>
      <c r="V30" s="49">
        <v>5065.5</v>
      </c>
      <c r="W30" s="47">
        <v>4983.6000000000004</v>
      </c>
      <c r="X30" s="48">
        <v>5215.3999999999996</v>
      </c>
      <c r="Y30" s="48">
        <v>5909.5999999999995</v>
      </c>
      <c r="Z30" s="49">
        <v>7520.3</v>
      </c>
      <c r="AA30" s="47">
        <v>5464.8</v>
      </c>
      <c r="AB30" s="48">
        <v>5815.2</v>
      </c>
      <c r="AC30" s="48">
        <v>5897.2</v>
      </c>
      <c r="AD30" s="49">
        <v>6456.3</v>
      </c>
      <c r="AE30" s="48">
        <v>6379.1</v>
      </c>
      <c r="AF30" s="48">
        <v>7459.2</v>
      </c>
      <c r="AG30" s="48">
        <v>6924.5999999999995</v>
      </c>
      <c r="AH30" s="49">
        <v>7715.2999999999993</v>
      </c>
      <c r="AI30" s="48">
        <v>10354.5</v>
      </c>
      <c r="AJ30" s="48">
        <v>8702.5</v>
      </c>
      <c r="AK30" s="48">
        <v>9043.6999999999989</v>
      </c>
      <c r="AL30" s="49">
        <v>9875.2000000000007</v>
      </c>
      <c r="AM30" s="48">
        <v>10004.1</v>
      </c>
      <c r="AN30" s="48">
        <v>10769.1</v>
      </c>
      <c r="AO30" s="48">
        <v>11259.2</v>
      </c>
      <c r="AP30" s="49">
        <v>11960.2</v>
      </c>
      <c r="AQ30" s="48">
        <v>12385</v>
      </c>
      <c r="AR30" s="48">
        <v>13167.4</v>
      </c>
      <c r="AS30" s="48">
        <v>13516.9</v>
      </c>
      <c r="AT30" s="49">
        <v>14816.2</v>
      </c>
    </row>
    <row r="31" spans="1:46" s="196" customFormat="1" ht="11.25">
      <c r="A31" s="46" t="s">
        <v>500</v>
      </c>
      <c r="B31" s="46" t="s">
        <v>499</v>
      </c>
      <c r="C31" s="174">
        <v>19475.900000000001</v>
      </c>
      <c r="D31" s="174">
        <v>19033.8</v>
      </c>
      <c r="E31" s="174">
        <v>21089.100000000002</v>
      </c>
      <c r="F31" s="174">
        <v>22788.799999999999</v>
      </c>
      <c r="G31" s="174">
        <v>24172.2</v>
      </c>
      <c r="H31" s="174">
        <v>24694.799999999999</v>
      </c>
      <c r="I31" s="174">
        <v>29911.9</v>
      </c>
      <c r="J31" s="174">
        <v>24149.599999999999</v>
      </c>
      <c r="K31" s="174">
        <v>24764.5</v>
      </c>
      <c r="L31" s="174">
        <v>25504.799999999999</v>
      </c>
      <c r="M31" s="174">
        <v>25115.8</v>
      </c>
      <c r="N31" s="174">
        <v>25917.5</v>
      </c>
      <c r="O31" s="174">
        <v>24918.7</v>
      </c>
      <c r="P31" s="174">
        <v>24730.799999999999</v>
      </c>
      <c r="Q31" s="174">
        <v>25300.5</v>
      </c>
      <c r="R31" s="174">
        <v>25325.3</v>
      </c>
      <c r="S31" s="174">
        <v>25219.7</v>
      </c>
      <c r="T31" s="174">
        <v>26197</v>
      </c>
      <c r="U31" s="174">
        <v>27531.3</v>
      </c>
      <c r="V31" s="174">
        <v>28369.199999999997</v>
      </c>
      <c r="W31" s="174">
        <v>28713.3</v>
      </c>
      <c r="X31" s="174">
        <v>29981.9</v>
      </c>
      <c r="Y31" s="174">
        <v>30173.1</v>
      </c>
      <c r="Z31" s="174">
        <v>30107.4</v>
      </c>
      <c r="AA31" s="174">
        <v>33905.5</v>
      </c>
      <c r="AB31" s="174">
        <v>34980.6</v>
      </c>
      <c r="AC31" s="174">
        <v>37145</v>
      </c>
      <c r="AD31" s="174">
        <v>37107.5</v>
      </c>
      <c r="AE31" s="174">
        <v>38659.200000000004</v>
      </c>
      <c r="AF31" s="174">
        <v>38451.1</v>
      </c>
      <c r="AG31" s="174">
        <v>40143.200000000004</v>
      </c>
      <c r="AH31" s="293">
        <v>42501.799999999996</v>
      </c>
      <c r="AI31" s="174">
        <v>42087.5</v>
      </c>
      <c r="AJ31" s="174">
        <v>45985.4</v>
      </c>
      <c r="AK31" s="174">
        <v>46874.3</v>
      </c>
      <c r="AL31" s="293">
        <v>49021</v>
      </c>
      <c r="AM31" s="174">
        <v>51725</v>
      </c>
      <c r="AN31" s="174">
        <v>52239.7</v>
      </c>
      <c r="AO31" s="174">
        <v>50261.8</v>
      </c>
      <c r="AP31" s="293">
        <f>47726+3861.8</f>
        <v>51587.8</v>
      </c>
      <c r="AQ31" s="174">
        <f>48905+3454</f>
        <v>52359</v>
      </c>
      <c r="AR31" s="174">
        <f>2933.9+48979.8</f>
        <v>51913.700000000004</v>
      </c>
      <c r="AS31" s="174">
        <f>49373+2598.7</f>
        <v>51971.7</v>
      </c>
      <c r="AT31" s="293">
        <f>49767.7+3334.8</f>
        <v>53102.5</v>
      </c>
    </row>
    <row r="32" spans="1:46" s="17" customFormat="1" ht="11.25">
      <c r="A32" s="35" t="s">
        <v>198</v>
      </c>
      <c r="B32" s="35" t="s">
        <v>429</v>
      </c>
      <c r="C32" s="27">
        <v>62.4</v>
      </c>
      <c r="D32" s="28">
        <v>306.89999999999998</v>
      </c>
      <c r="E32" s="28">
        <v>282.5</v>
      </c>
      <c r="F32" s="28">
        <v>246.9</v>
      </c>
      <c r="G32" s="27">
        <v>74.900000000000006</v>
      </c>
      <c r="H32" s="28">
        <v>83.4</v>
      </c>
      <c r="I32" s="28">
        <v>56.5</v>
      </c>
      <c r="J32" s="29">
        <v>65.600000000000009</v>
      </c>
      <c r="K32" s="27">
        <v>65.2</v>
      </c>
      <c r="L32" s="28">
        <v>61.5</v>
      </c>
      <c r="M32" s="28">
        <v>62</v>
      </c>
      <c r="N32" s="29">
        <v>64.2</v>
      </c>
      <c r="O32" s="27">
        <v>60.8</v>
      </c>
      <c r="P32" s="28">
        <v>44.2</v>
      </c>
      <c r="Q32" s="28">
        <v>71.5</v>
      </c>
      <c r="R32" s="29">
        <v>49.5</v>
      </c>
      <c r="S32" s="27">
        <v>101.6</v>
      </c>
      <c r="T32" s="28">
        <v>106.6</v>
      </c>
      <c r="U32" s="28">
        <v>63.400000000000006</v>
      </c>
      <c r="V32" s="29">
        <v>47.1</v>
      </c>
      <c r="W32" s="27">
        <v>44.8</v>
      </c>
      <c r="X32" s="28">
        <v>51.699999999999996</v>
      </c>
      <c r="Y32" s="28">
        <v>54.199999999999996</v>
      </c>
      <c r="Z32" s="29">
        <v>56</v>
      </c>
      <c r="AA32" s="27">
        <v>64.8</v>
      </c>
      <c r="AB32" s="28">
        <v>57</v>
      </c>
      <c r="AC32" s="28">
        <v>62.199999999999996</v>
      </c>
      <c r="AD32" s="29">
        <v>65.099999999999994</v>
      </c>
      <c r="AE32" s="28">
        <v>60</v>
      </c>
      <c r="AF32" s="28">
        <v>79.400000000000006</v>
      </c>
      <c r="AG32" s="28">
        <v>62.6</v>
      </c>
      <c r="AH32" s="29">
        <v>61.699999999999996</v>
      </c>
      <c r="AI32" s="28">
        <v>65.900000000000006</v>
      </c>
      <c r="AJ32" s="28">
        <v>92.4</v>
      </c>
      <c r="AK32" s="28">
        <v>83</v>
      </c>
      <c r="AL32" s="29">
        <v>80.2</v>
      </c>
      <c r="AM32" s="28">
        <v>79.5</v>
      </c>
      <c r="AN32" s="28">
        <v>65.400000000000006</v>
      </c>
      <c r="AO32" s="28">
        <v>76.2</v>
      </c>
      <c r="AP32" s="29">
        <v>67.599999999999994</v>
      </c>
      <c r="AQ32" s="28">
        <v>65.599999999999994</v>
      </c>
      <c r="AR32" s="28">
        <v>66.3</v>
      </c>
      <c r="AS32" s="28">
        <v>78.599999999999994</v>
      </c>
      <c r="AT32" s="29">
        <v>81.900000000000006</v>
      </c>
    </row>
    <row r="33" spans="1:46" s="176" customFormat="1" ht="11.25">
      <c r="A33" s="51" t="s">
        <v>278</v>
      </c>
      <c r="B33" s="51" t="s">
        <v>62</v>
      </c>
      <c r="C33" s="37">
        <f t="shared" ref="C33:AE33" si="41">C23+C28</f>
        <v>33444.9</v>
      </c>
      <c r="D33" s="38">
        <f t="shared" si="41"/>
        <v>33312.699999999997</v>
      </c>
      <c r="E33" s="38">
        <f t="shared" si="41"/>
        <v>34912.6</v>
      </c>
      <c r="F33" s="38">
        <f t="shared" si="41"/>
        <v>38725.300000000003</v>
      </c>
      <c r="G33" s="37">
        <f t="shared" si="41"/>
        <v>39810.700000000004</v>
      </c>
      <c r="H33" s="38">
        <f t="shared" si="41"/>
        <v>40753.4</v>
      </c>
      <c r="I33" s="38">
        <f t="shared" si="41"/>
        <v>45088.3</v>
      </c>
      <c r="J33" s="39">
        <f t="shared" si="41"/>
        <v>39611.299999999996</v>
      </c>
      <c r="K33" s="37">
        <f t="shared" si="41"/>
        <v>39154.1</v>
      </c>
      <c r="L33" s="38">
        <f t="shared" si="41"/>
        <v>39901.399999999994</v>
      </c>
      <c r="M33" s="38">
        <f t="shared" si="41"/>
        <v>40493.199999999997</v>
      </c>
      <c r="N33" s="39">
        <f t="shared" si="41"/>
        <v>42364.3</v>
      </c>
      <c r="O33" s="37">
        <f t="shared" si="41"/>
        <v>41033.699999999997</v>
      </c>
      <c r="P33" s="38">
        <f t="shared" si="41"/>
        <v>40545.5</v>
      </c>
      <c r="Q33" s="38">
        <f t="shared" si="41"/>
        <v>41582.299999999996</v>
      </c>
      <c r="R33" s="39">
        <f t="shared" si="41"/>
        <v>43025.299999999996</v>
      </c>
      <c r="S33" s="37">
        <f t="shared" si="41"/>
        <v>41801.299999999996</v>
      </c>
      <c r="T33" s="38">
        <f t="shared" si="41"/>
        <v>43799.899999999994</v>
      </c>
      <c r="U33" s="38">
        <f t="shared" si="41"/>
        <v>46054.7</v>
      </c>
      <c r="V33" s="39">
        <f t="shared" si="41"/>
        <v>47745.2</v>
      </c>
      <c r="W33" s="37">
        <f t="shared" si="41"/>
        <v>47634.900000000009</v>
      </c>
      <c r="X33" s="38">
        <f t="shared" si="41"/>
        <v>48818.400000000001</v>
      </c>
      <c r="Y33" s="38">
        <f t="shared" si="41"/>
        <v>50048.899999999994</v>
      </c>
      <c r="Z33" s="39">
        <f t="shared" si="41"/>
        <v>52251.100000000006</v>
      </c>
      <c r="AA33" s="37">
        <f t="shared" si="41"/>
        <v>53749.500000000007</v>
      </c>
      <c r="AB33" s="38">
        <f t="shared" si="41"/>
        <v>57471.799999999996</v>
      </c>
      <c r="AC33" s="38">
        <f t="shared" si="41"/>
        <v>60576.7</v>
      </c>
      <c r="AD33" s="39">
        <f t="shared" si="41"/>
        <v>62231.3</v>
      </c>
      <c r="AE33" s="38">
        <f t="shared" si="41"/>
        <v>62610.9</v>
      </c>
      <c r="AF33" s="38">
        <f t="shared" ref="AF33:AK33" si="42">SUM(AF23,AF28)</f>
        <v>65126.400000000001</v>
      </c>
      <c r="AG33" s="38">
        <f t="shared" si="42"/>
        <v>66832.600000000006</v>
      </c>
      <c r="AH33" s="39">
        <f t="shared" si="42"/>
        <v>71539.299999999988</v>
      </c>
      <c r="AI33" s="38">
        <f t="shared" si="42"/>
        <v>73225.8</v>
      </c>
      <c r="AJ33" s="38">
        <f t="shared" si="42"/>
        <v>76942.5</v>
      </c>
      <c r="AK33" s="38">
        <f t="shared" si="42"/>
        <v>79348.800000000003</v>
      </c>
      <c r="AL33" s="39">
        <f t="shared" ref="AL33:AT33" si="43">SUM(AL23,AL28)</f>
        <v>83769.299999999988</v>
      </c>
      <c r="AM33" s="38">
        <f t="shared" si="43"/>
        <v>86077.3</v>
      </c>
      <c r="AN33" s="38">
        <f t="shared" si="43"/>
        <v>88521.8</v>
      </c>
      <c r="AO33" s="38">
        <f t="shared" si="43"/>
        <v>87572.299999999988</v>
      </c>
      <c r="AP33" s="39">
        <f t="shared" si="43"/>
        <v>90456.5</v>
      </c>
      <c r="AQ33" s="38">
        <f t="shared" si="43"/>
        <v>91082.7</v>
      </c>
      <c r="AR33" s="38">
        <f t="shared" si="43"/>
        <v>91830.200000000012</v>
      </c>
      <c r="AS33" s="38">
        <f t="shared" si="43"/>
        <v>92532.7</v>
      </c>
      <c r="AT33" s="38">
        <f t="shared" si="43"/>
        <v>98438.799999999988</v>
      </c>
    </row>
    <row r="34" spans="1:46" s="175" customFormat="1" ht="11.25">
      <c r="A34" s="35"/>
      <c r="B34" s="35"/>
      <c r="C34" s="27"/>
      <c r="D34" s="28"/>
      <c r="E34" s="28"/>
      <c r="F34" s="28"/>
      <c r="G34" s="27"/>
      <c r="H34" s="28"/>
      <c r="I34" s="28"/>
      <c r="J34" s="29"/>
      <c r="K34" s="27"/>
      <c r="L34" s="28"/>
      <c r="M34" s="28"/>
      <c r="N34" s="29"/>
      <c r="O34" s="27"/>
      <c r="P34" s="28"/>
      <c r="Q34" s="28"/>
      <c r="R34" s="29"/>
      <c r="S34" s="27"/>
      <c r="T34" s="28"/>
      <c r="U34" s="28"/>
      <c r="V34" s="29"/>
      <c r="W34" s="27"/>
      <c r="X34" s="28"/>
      <c r="Y34" s="28"/>
      <c r="Z34" s="29"/>
      <c r="AA34" s="27"/>
      <c r="AB34" s="28"/>
      <c r="AC34" s="28"/>
      <c r="AD34" s="29"/>
      <c r="AE34" s="28"/>
      <c r="AF34" s="28"/>
      <c r="AG34" s="28"/>
      <c r="AH34" s="29"/>
      <c r="AI34" s="28"/>
      <c r="AJ34" s="28"/>
      <c r="AK34" s="28"/>
      <c r="AL34" s="29"/>
      <c r="AM34" s="28"/>
      <c r="AN34" s="28"/>
      <c r="AO34" s="28"/>
      <c r="AP34" s="29"/>
      <c r="AQ34" s="28"/>
      <c r="AR34" s="28"/>
      <c r="AS34" s="28"/>
      <c r="AT34" s="29"/>
    </row>
    <row r="35" spans="1:46" s="175" customFormat="1" ht="22.5">
      <c r="A35" s="50" t="s">
        <v>280</v>
      </c>
      <c r="B35" s="50" t="s">
        <v>119</v>
      </c>
      <c r="C35" s="27"/>
      <c r="D35" s="28"/>
      <c r="E35" s="28"/>
      <c r="F35" s="28"/>
      <c r="G35" s="27"/>
      <c r="H35" s="28"/>
      <c r="I35" s="28"/>
      <c r="J35" s="29"/>
      <c r="K35" s="27"/>
      <c r="L35" s="28"/>
      <c r="M35" s="28"/>
      <c r="N35" s="29"/>
      <c r="O35" s="27"/>
      <c r="P35" s="28"/>
      <c r="Q35" s="28"/>
      <c r="R35" s="29"/>
      <c r="S35" s="27"/>
      <c r="T35" s="28"/>
      <c r="U35" s="28"/>
      <c r="V35" s="29"/>
      <c r="W35" s="27"/>
      <c r="X35" s="28"/>
      <c r="Y35" s="28"/>
      <c r="Z35" s="29"/>
      <c r="AA35" s="27"/>
      <c r="AB35" s="28"/>
      <c r="AC35" s="28"/>
      <c r="AD35" s="29"/>
      <c r="AE35" s="28"/>
      <c r="AF35" s="28"/>
      <c r="AG35" s="28"/>
      <c r="AH35" s="29"/>
      <c r="AI35" s="28"/>
      <c r="AJ35" s="28"/>
      <c r="AK35" s="28"/>
      <c r="AL35" s="29"/>
      <c r="AM35" s="28"/>
      <c r="AN35" s="28"/>
      <c r="AO35" s="28"/>
      <c r="AP35" s="29"/>
      <c r="AQ35" s="28"/>
      <c r="AR35" s="28"/>
      <c r="AS35" s="28"/>
      <c r="AT35" s="29"/>
    </row>
    <row r="36" spans="1:46" s="175" customFormat="1" ht="11.25">
      <c r="A36" s="35"/>
      <c r="B36" s="35"/>
      <c r="C36" s="27"/>
      <c r="D36" s="28"/>
      <c r="E36" s="28"/>
      <c r="F36" s="28"/>
      <c r="G36" s="27"/>
      <c r="H36" s="28"/>
      <c r="I36" s="28"/>
      <c r="J36" s="29"/>
      <c r="K36" s="27"/>
      <c r="L36" s="28"/>
      <c r="M36" s="28"/>
      <c r="N36" s="29"/>
      <c r="O36" s="27"/>
      <c r="P36" s="28"/>
      <c r="Q36" s="28"/>
      <c r="R36" s="29"/>
      <c r="S36" s="27"/>
      <c r="T36" s="28"/>
      <c r="U36" s="28"/>
      <c r="V36" s="29"/>
      <c r="W36" s="27"/>
      <c r="X36" s="28"/>
      <c r="Y36" s="28"/>
      <c r="Z36" s="29"/>
      <c r="AA36" s="27"/>
      <c r="AB36" s="28"/>
      <c r="AC36" s="28"/>
      <c r="AD36" s="29"/>
      <c r="AE36" s="28"/>
      <c r="AF36" s="28"/>
      <c r="AG36" s="28"/>
      <c r="AH36" s="29"/>
      <c r="AI36" s="28"/>
      <c r="AJ36" s="28"/>
      <c r="AK36" s="28"/>
      <c r="AL36" s="29"/>
      <c r="AM36" s="28"/>
      <c r="AN36" s="28"/>
      <c r="AO36" s="28"/>
      <c r="AP36" s="29"/>
      <c r="AQ36" s="28"/>
      <c r="AR36" s="28"/>
      <c r="AS36" s="28"/>
      <c r="AT36" s="29"/>
    </row>
    <row r="37" spans="1:46" s="175" customFormat="1" ht="11.25">
      <c r="A37" s="35" t="s">
        <v>273</v>
      </c>
      <c r="B37" s="35" t="s">
        <v>114</v>
      </c>
      <c r="C37" s="27">
        <f>SUM(C38:C39)</f>
        <v>1940.6999999999998</v>
      </c>
      <c r="D37" s="28">
        <f t="shared" ref="D37:X37" si="44">SUM(D38:D39)</f>
        <v>2130.1999999999998</v>
      </c>
      <c r="E37" s="28">
        <f t="shared" si="44"/>
        <v>2223.5</v>
      </c>
      <c r="F37" s="28">
        <f t="shared" si="44"/>
        <v>2572.4</v>
      </c>
      <c r="G37" s="27">
        <f t="shared" si="44"/>
        <v>2375</v>
      </c>
      <c r="H37" s="28">
        <f t="shared" si="44"/>
        <v>2885.4</v>
      </c>
      <c r="I37" s="28">
        <f t="shared" si="44"/>
        <v>2562.9</v>
      </c>
      <c r="J37" s="29">
        <f t="shared" si="44"/>
        <v>2886.2</v>
      </c>
      <c r="K37" s="27">
        <f t="shared" si="44"/>
        <v>2195.5</v>
      </c>
      <c r="L37" s="28">
        <f t="shared" si="44"/>
        <v>1661</v>
      </c>
      <c r="M37" s="28">
        <f t="shared" si="44"/>
        <v>1679.3</v>
      </c>
      <c r="N37" s="29">
        <f t="shared" si="44"/>
        <v>1508.2</v>
      </c>
      <c r="O37" s="27">
        <f t="shared" si="44"/>
        <v>1525.6000000000001</v>
      </c>
      <c r="P37" s="28">
        <f t="shared" si="44"/>
        <v>1382.5</v>
      </c>
      <c r="Q37" s="28">
        <f t="shared" si="44"/>
        <v>2799.2</v>
      </c>
      <c r="R37" s="29">
        <f t="shared" si="44"/>
        <v>1695</v>
      </c>
      <c r="S37" s="27">
        <f t="shared" si="44"/>
        <v>1787.3000000000002</v>
      </c>
      <c r="T37" s="28">
        <f t="shared" si="44"/>
        <v>1637.3000000000002</v>
      </c>
      <c r="U37" s="28">
        <f t="shared" si="44"/>
        <v>2223.1999999999998</v>
      </c>
      <c r="V37" s="29">
        <f t="shared" si="44"/>
        <v>2102.6</v>
      </c>
      <c r="W37" s="27">
        <f t="shared" si="44"/>
        <v>1680</v>
      </c>
      <c r="X37" s="28">
        <f t="shared" si="44"/>
        <v>1643.2</v>
      </c>
      <c r="Y37" s="28">
        <f t="shared" ref="Y37:AD37" si="45">SUM(Y38:Y39)</f>
        <v>1632.2</v>
      </c>
      <c r="Z37" s="29">
        <f t="shared" si="45"/>
        <v>2099</v>
      </c>
      <c r="AA37" s="27">
        <f t="shared" si="45"/>
        <v>1881.6999999999998</v>
      </c>
      <c r="AB37" s="28">
        <f t="shared" si="45"/>
        <v>1933.9</v>
      </c>
      <c r="AC37" s="28">
        <f t="shared" si="45"/>
        <v>1938.8000000000002</v>
      </c>
      <c r="AD37" s="29">
        <f t="shared" si="45"/>
        <v>2090.8000000000002</v>
      </c>
      <c r="AE37" s="28">
        <f t="shared" ref="AE37:AJ37" si="46">SUM(AE38:AE39)</f>
        <v>2016.7</v>
      </c>
      <c r="AF37" s="28">
        <f t="shared" si="46"/>
        <v>1910.5</v>
      </c>
      <c r="AG37" s="28">
        <f t="shared" si="46"/>
        <v>1936.8</v>
      </c>
      <c r="AH37" s="29">
        <f t="shared" si="46"/>
        <v>1868.5</v>
      </c>
      <c r="AI37" s="28">
        <f t="shared" si="46"/>
        <v>1948.1</v>
      </c>
      <c r="AJ37" s="28">
        <f t="shared" si="46"/>
        <v>1705.5</v>
      </c>
      <c r="AK37" s="28">
        <f t="shared" ref="AK37:AT37" si="47">SUM(AK38:AK39)</f>
        <v>1777.6000000000001</v>
      </c>
      <c r="AL37" s="29">
        <f t="shared" si="47"/>
        <v>1619.5</v>
      </c>
      <c r="AM37" s="28">
        <f t="shared" si="47"/>
        <v>1786.1999999999998</v>
      </c>
      <c r="AN37" s="28">
        <f t="shared" si="47"/>
        <v>2252.2999999999997</v>
      </c>
      <c r="AO37" s="28">
        <f t="shared" si="47"/>
        <v>1944.6999999999998</v>
      </c>
      <c r="AP37" s="29">
        <f t="shared" si="47"/>
        <v>1740.8</v>
      </c>
      <c r="AQ37" s="28">
        <f t="shared" si="47"/>
        <v>2572.5</v>
      </c>
      <c r="AR37" s="28">
        <f t="shared" si="47"/>
        <v>1755.6000000000001</v>
      </c>
      <c r="AS37" s="28">
        <f t="shared" si="47"/>
        <v>2301.3000000000002</v>
      </c>
      <c r="AT37" s="28">
        <f t="shared" si="47"/>
        <v>1773.9</v>
      </c>
    </row>
    <row r="38" spans="1:46" s="178" customFormat="1" ht="11.25">
      <c r="A38" s="46" t="s">
        <v>277</v>
      </c>
      <c r="B38" s="46" t="s">
        <v>115</v>
      </c>
      <c r="C38" s="47">
        <v>852.5</v>
      </c>
      <c r="D38" s="48">
        <v>910</v>
      </c>
      <c r="E38" s="48">
        <v>1104.9000000000001</v>
      </c>
      <c r="F38" s="48">
        <v>2028.9</v>
      </c>
      <c r="G38" s="47">
        <v>1264.2</v>
      </c>
      <c r="H38" s="48">
        <v>1695.5</v>
      </c>
      <c r="I38" s="48">
        <v>1176.2</v>
      </c>
      <c r="J38" s="49">
        <v>2400.6999999999998</v>
      </c>
      <c r="K38" s="47">
        <v>1266.0999999999999</v>
      </c>
      <c r="L38" s="48">
        <v>1182.3</v>
      </c>
      <c r="M38" s="48">
        <v>1198.3</v>
      </c>
      <c r="N38" s="49">
        <v>1304</v>
      </c>
      <c r="O38" s="47">
        <v>1141.4000000000001</v>
      </c>
      <c r="P38" s="48">
        <v>1081.4000000000001</v>
      </c>
      <c r="Q38" s="48">
        <v>1878.3</v>
      </c>
      <c r="R38" s="49">
        <v>1455.3</v>
      </c>
      <c r="S38" s="47">
        <v>1357.9</v>
      </c>
      <c r="T38" s="48">
        <v>1285.7</v>
      </c>
      <c r="U38" s="48">
        <v>1569.5</v>
      </c>
      <c r="V38" s="49">
        <v>1930.9</v>
      </c>
      <c r="W38" s="47">
        <v>1216.3</v>
      </c>
      <c r="X38" s="48">
        <v>1254.5</v>
      </c>
      <c r="Y38" s="48">
        <v>1318.5</v>
      </c>
      <c r="Z38" s="49">
        <v>1982.1</v>
      </c>
      <c r="AA38" s="47">
        <v>1446.1</v>
      </c>
      <c r="AB38" s="48">
        <v>1501.7</v>
      </c>
      <c r="AC38" s="48">
        <v>1511.7</v>
      </c>
      <c r="AD38" s="49">
        <v>2029</v>
      </c>
      <c r="AE38" s="48">
        <v>1589</v>
      </c>
      <c r="AF38" s="48">
        <v>1625.2</v>
      </c>
      <c r="AG38" s="48">
        <v>1622.5</v>
      </c>
      <c r="AH38" s="49">
        <v>1809.4</v>
      </c>
      <c r="AI38" s="48">
        <v>1577.6</v>
      </c>
      <c r="AJ38" s="48">
        <v>1549.5</v>
      </c>
      <c r="AK38" s="48">
        <v>1657.4</v>
      </c>
      <c r="AL38" s="49">
        <v>1530.6</v>
      </c>
      <c r="AM38" s="48">
        <v>1669.6</v>
      </c>
      <c r="AN38" s="48">
        <v>2091.6999999999998</v>
      </c>
      <c r="AO38" s="48">
        <v>1747.1</v>
      </c>
      <c r="AP38" s="49">
        <v>1684.3</v>
      </c>
      <c r="AQ38" s="48">
        <v>1693.5</v>
      </c>
      <c r="AR38" s="48">
        <v>1647.2</v>
      </c>
      <c r="AS38" s="48">
        <v>1705.6</v>
      </c>
      <c r="AT38" s="49">
        <v>1712.7</v>
      </c>
    </row>
    <row r="39" spans="1:46" s="196" customFormat="1" ht="11.25">
      <c r="A39" s="46" t="s">
        <v>351</v>
      </c>
      <c r="B39" s="46" t="s">
        <v>116</v>
      </c>
      <c r="C39" s="47">
        <f>1086.6+1.6</f>
        <v>1088.1999999999998</v>
      </c>
      <c r="D39" s="48">
        <f>1218.2+2</f>
        <v>1220.2</v>
      </c>
      <c r="E39" s="48">
        <f>1116.5+2.1</f>
        <v>1118.5999999999999</v>
      </c>
      <c r="F39" s="48">
        <v>543.5</v>
      </c>
      <c r="G39" s="47">
        <v>1110.8</v>
      </c>
      <c r="H39" s="48">
        <v>1189.9000000000001</v>
      </c>
      <c r="I39" s="48">
        <v>1386.7</v>
      </c>
      <c r="J39" s="49">
        <v>485.5</v>
      </c>
      <c r="K39" s="47">
        <v>929.4</v>
      </c>
      <c r="L39" s="48">
        <v>478.7</v>
      </c>
      <c r="M39" s="48">
        <v>481</v>
      </c>
      <c r="N39" s="49">
        <v>204.2</v>
      </c>
      <c r="O39" s="47">
        <v>384.2</v>
      </c>
      <c r="P39" s="48">
        <v>301.10000000000002</v>
      </c>
      <c r="Q39" s="48">
        <v>920.9</v>
      </c>
      <c r="R39" s="49">
        <v>239.7</v>
      </c>
      <c r="S39" s="47">
        <v>429.4</v>
      </c>
      <c r="T39" s="48">
        <v>351.6</v>
      </c>
      <c r="U39" s="48">
        <v>653.70000000000005</v>
      </c>
      <c r="V39" s="49">
        <v>171.7</v>
      </c>
      <c r="W39" s="47">
        <v>463.7</v>
      </c>
      <c r="X39" s="48">
        <v>388.7</v>
      </c>
      <c r="Y39" s="48">
        <v>313.7</v>
      </c>
      <c r="Z39" s="49">
        <v>116.9</v>
      </c>
      <c r="AA39" s="47">
        <v>435.6</v>
      </c>
      <c r="AB39" s="48">
        <v>432.2</v>
      </c>
      <c r="AC39" s="48">
        <v>427.1</v>
      </c>
      <c r="AD39" s="49">
        <v>61.8</v>
      </c>
      <c r="AE39" s="48">
        <v>427.7</v>
      </c>
      <c r="AF39" s="48">
        <v>285.3</v>
      </c>
      <c r="AG39" s="48">
        <v>314.3</v>
      </c>
      <c r="AH39" s="49">
        <v>59.1</v>
      </c>
      <c r="AI39" s="48">
        <v>370.5</v>
      </c>
      <c r="AJ39" s="48">
        <v>156</v>
      </c>
      <c r="AK39" s="48">
        <v>120.2</v>
      </c>
      <c r="AL39" s="49">
        <v>88.9</v>
      </c>
      <c r="AM39" s="48">
        <v>116.60000000000001</v>
      </c>
      <c r="AN39" s="48">
        <v>160.6</v>
      </c>
      <c r="AO39" s="48">
        <v>197.6</v>
      </c>
      <c r="AP39" s="49">
        <v>56.5</v>
      </c>
      <c r="AQ39" s="48">
        <v>879</v>
      </c>
      <c r="AR39" s="48">
        <v>108.4</v>
      </c>
      <c r="AS39" s="48">
        <v>595.70000000000005</v>
      </c>
      <c r="AT39" s="49">
        <v>61.2</v>
      </c>
    </row>
    <row r="40" spans="1:46" s="17" customFormat="1" ht="11.25">
      <c r="A40" s="17" t="s">
        <v>274</v>
      </c>
      <c r="B40" s="17" t="s">
        <v>112</v>
      </c>
      <c r="C40" s="27">
        <v>1.4</v>
      </c>
      <c r="D40" s="28">
        <v>0.7</v>
      </c>
      <c r="E40" s="28">
        <v>9.3000000000000007</v>
      </c>
      <c r="F40" s="28">
        <v>6.6</v>
      </c>
      <c r="G40" s="27">
        <v>7.2</v>
      </c>
      <c r="H40" s="28">
        <v>4.5999999999999996</v>
      </c>
      <c r="I40" s="28">
        <v>2.2000000000000002</v>
      </c>
      <c r="J40" s="29">
        <v>16</v>
      </c>
      <c r="K40" s="27">
        <v>4.5</v>
      </c>
      <c r="L40" s="28">
        <v>13.7</v>
      </c>
      <c r="M40" s="28">
        <v>5.5</v>
      </c>
      <c r="N40" s="29">
        <v>1.1000000000000001</v>
      </c>
      <c r="O40" s="27">
        <v>0.6</v>
      </c>
      <c r="P40" s="28">
        <v>0.6</v>
      </c>
      <c r="Q40" s="28">
        <v>0.6</v>
      </c>
      <c r="R40" s="29">
        <v>1.9</v>
      </c>
      <c r="S40" s="27">
        <v>2.1</v>
      </c>
      <c r="T40" s="28">
        <v>2.2000000000000002</v>
      </c>
      <c r="U40" s="28">
        <v>2.1</v>
      </c>
      <c r="V40" s="29">
        <v>2.1</v>
      </c>
      <c r="W40" s="27">
        <v>1.9</v>
      </c>
      <c r="X40" s="28">
        <v>1.4</v>
      </c>
      <c r="Y40" s="28">
        <v>1.6</v>
      </c>
      <c r="Z40" s="29">
        <v>3.6</v>
      </c>
      <c r="AA40" s="27">
        <v>54.9</v>
      </c>
      <c r="AB40" s="28">
        <v>51.9</v>
      </c>
      <c r="AC40" s="28">
        <v>7.7</v>
      </c>
      <c r="AD40" s="29">
        <v>9.6</v>
      </c>
      <c r="AE40" s="28">
        <v>6</v>
      </c>
      <c r="AF40" s="28">
        <v>10.8</v>
      </c>
      <c r="AG40" s="28">
        <v>7.3</v>
      </c>
      <c r="AH40" s="29">
        <v>7.3</v>
      </c>
      <c r="AI40" s="28">
        <v>6.5</v>
      </c>
      <c r="AJ40" s="28">
        <v>18.899999999999999</v>
      </c>
      <c r="AK40" s="28">
        <v>9.8000000000000007</v>
      </c>
      <c r="AL40" s="29">
        <v>12.4</v>
      </c>
      <c r="AM40" s="28">
        <v>11.600000000000001</v>
      </c>
      <c r="AN40" s="28">
        <v>9.1</v>
      </c>
      <c r="AO40" s="28">
        <v>12.1</v>
      </c>
      <c r="AP40" s="29">
        <v>10.199999999999999</v>
      </c>
      <c r="AQ40" s="28">
        <v>7.9</v>
      </c>
      <c r="AR40" s="28">
        <v>7.5</v>
      </c>
      <c r="AS40" s="28">
        <v>10.3</v>
      </c>
      <c r="AT40" s="29">
        <v>32.199999999999996</v>
      </c>
    </row>
    <row r="41" spans="1:46" s="176" customFormat="1" ht="11.25">
      <c r="A41" s="51" t="s">
        <v>278</v>
      </c>
      <c r="B41" s="51" t="s">
        <v>62</v>
      </c>
      <c r="C41" s="37">
        <f t="shared" ref="C41:AA41" si="48">C37+C40</f>
        <v>1942.1</v>
      </c>
      <c r="D41" s="38">
        <f t="shared" si="48"/>
        <v>2130.8999999999996</v>
      </c>
      <c r="E41" s="38">
        <f t="shared" si="48"/>
        <v>2232.8000000000002</v>
      </c>
      <c r="F41" s="38">
        <f t="shared" si="48"/>
        <v>2579</v>
      </c>
      <c r="G41" s="37">
        <f t="shared" si="48"/>
        <v>2382.1999999999998</v>
      </c>
      <c r="H41" s="38">
        <f t="shared" si="48"/>
        <v>2890</v>
      </c>
      <c r="I41" s="38">
        <f t="shared" si="48"/>
        <v>2565.1</v>
      </c>
      <c r="J41" s="39">
        <f t="shared" si="48"/>
        <v>2902.2</v>
      </c>
      <c r="K41" s="37">
        <f t="shared" si="48"/>
        <v>2200</v>
      </c>
      <c r="L41" s="38">
        <f t="shared" si="48"/>
        <v>1674.7</v>
      </c>
      <c r="M41" s="38">
        <f t="shared" si="48"/>
        <v>1684.8</v>
      </c>
      <c r="N41" s="39">
        <f t="shared" si="48"/>
        <v>1509.3</v>
      </c>
      <c r="O41" s="37">
        <f t="shared" si="48"/>
        <v>1526.2</v>
      </c>
      <c r="P41" s="38">
        <f t="shared" si="48"/>
        <v>1383.1</v>
      </c>
      <c r="Q41" s="38">
        <f t="shared" si="48"/>
        <v>2799.7999999999997</v>
      </c>
      <c r="R41" s="39">
        <f t="shared" si="48"/>
        <v>1696.9</v>
      </c>
      <c r="S41" s="37">
        <f t="shared" si="48"/>
        <v>1789.4</v>
      </c>
      <c r="T41" s="38">
        <f t="shared" si="48"/>
        <v>1639.5000000000002</v>
      </c>
      <c r="U41" s="38">
        <f t="shared" si="48"/>
        <v>2225.2999999999997</v>
      </c>
      <c r="V41" s="39">
        <f t="shared" si="48"/>
        <v>2104.6999999999998</v>
      </c>
      <c r="W41" s="37">
        <f t="shared" si="48"/>
        <v>1681.9</v>
      </c>
      <c r="X41" s="38">
        <f t="shared" si="48"/>
        <v>1644.6000000000001</v>
      </c>
      <c r="Y41" s="38">
        <f t="shared" si="48"/>
        <v>1633.8</v>
      </c>
      <c r="Z41" s="39">
        <f t="shared" si="48"/>
        <v>2102.6</v>
      </c>
      <c r="AA41" s="37">
        <f t="shared" si="48"/>
        <v>1936.6</v>
      </c>
      <c r="AB41" s="38">
        <f t="shared" ref="AB41:AG41" si="49">AB37+AB40</f>
        <v>1985.8000000000002</v>
      </c>
      <c r="AC41" s="38">
        <f t="shared" si="49"/>
        <v>1946.5000000000002</v>
      </c>
      <c r="AD41" s="39">
        <f t="shared" si="49"/>
        <v>2100.4</v>
      </c>
      <c r="AE41" s="38">
        <f t="shared" si="49"/>
        <v>2022.7</v>
      </c>
      <c r="AF41" s="38">
        <f t="shared" si="49"/>
        <v>1921.3</v>
      </c>
      <c r="AG41" s="38">
        <f t="shared" si="49"/>
        <v>1944.1</v>
      </c>
      <c r="AH41" s="39">
        <f t="shared" ref="AH41:AM41" si="50">AH37+AH40</f>
        <v>1875.8</v>
      </c>
      <c r="AI41" s="38">
        <f t="shared" si="50"/>
        <v>1954.6</v>
      </c>
      <c r="AJ41" s="38">
        <f t="shared" si="50"/>
        <v>1724.4</v>
      </c>
      <c r="AK41" s="38">
        <f t="shared" si="50"/>
        <v>1787.4</v>
      </c>
      <c r="AL41" s="39">
        <f t="shared" si="50"/>
        <v>1631.9</v>
      </c>
      <c r="AM41" s="38">
        <f t="shared" si="50"/>
        <v>1797.7999999999997</v>
      </c>
      <c r="AN41" s="38">
        <f t="shared" ref="AN41:AT41" si="51">AN37+AN40</f>
        <v>2261.3999999999996</v>
      </c>
      <c r="AO41" s="38">
        <f t="shared" si="51"/>
        <v>1956.7999999999997</v>
      </c>
      <c r="AP41" s="39">
        <f t="shared" si="51"/>
        <v>1751</v>
      </c>
      <c r="AQ41" s="38">
        <f t="shared" si="51"/>
        <v>2580.4</v>
      </c>
      <c r="AR41" s="38">
        <f t="shared" si="51"/>
        <v>1763.1000000000001</v>
      </c>
      <c r="AS41" s="38">
        <f t="shared" si="51"/>
        <v>2311.6000000000004</v>
      </c>
      <c r="AT41" s="38">
        <f t="shared" si="51"/>
        <v>1806.1000000000001</v>
      </c>
    </row>
    <row r="43" spans="1:46">
      <c r="C43" s="19"/>
      <c r="D43" s="19"/>
      <c r="E43" s="19"/>
      <c r="F43" s="19"/>
      <c r="G43" s="19"/>
      <c r="H43" s="19"/>
      <c r="I43" s="19"/>
      <c r="J43" s="19"/>
      <c r="K43" s="19"/>
      <c r="L43" s="19"/>
      <c r="M43" s="19"/>
      <c r="N43" s="19"/>
      <c r="O43" s="19"/>
      <c r="P43" s="19"/>
      <c r="Q43" s="19"/>
      <c r="R43" s="19"/>
    </row>
    <row r="45" spans="1:46">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S45" s="19"/>
      <c r="AT45" s="19"/>
    </row>
  </sheetData>
  <mergeCells count="13">
    <mergeCell ref="AQ3:AT3"/>
    <mergeCell ref="A3:A4"/>
    <mergeCell ref="B3:B4"/>
    <mergeCell ref="C3:F3"/>
    <mergeCell ref="G3:J3"/>
    <mergeCell ref="K3:N3"/>
    <mergeCell ref="AE3:AH3"/>
    <mergeCell ref="AA3:AD3"/>
    <mergeCell ref="AM3:AP3"/>
    <mergeCell ref="AI3:AL3"/>
    <mergeCell ref="W3:Z3"/>
    <mergeCell ref="O3:R3"/>
    <mergeCell ref="S3:V3"/>
  </mergeCells>
  <printOptions horizontalCentered="1"/>
  <pageMargins left="0.23622047244094491" right="0.23622047244094491" top="0.74803149606299213" bottom="0.74803149606299213" header="0.31496062992125984" footer="0.31496062992125984"/>
  <pageSetup paperSize="9" scale="29" orientation="landscape" r:id="rId1"/>
  <headerFooter alignWithMargins="0">
    <oddHeader xml:space="preserve">&amp;C&amp;"Times New Roman,Kursywa"&amp;12
</oddHeader>
  </headerFooter>
  <ignoredErrors>
    <ignoredError sqref="N15:X15 N20:X22 S34:X34 N36:X37 F36:M41 F15:M15 P24:X24 P29:X30 AB38:AC39 F19:M23 F16:F18 AD38:AF39 AD40:AH45 AG38:AH39 P35:X35 N29:O30 F27:M30 F24:O24 F32:M35 N35:O35 C25:O26 C35:E35 C32:E34 N32:O34 C24:E24 C31:O31 C27:E30 N27:O28 AH6:AI6 AI21:AI23 AI15 AI33 AI34:AI37 AI24 AI28 AI29 AI19:AI20 AH7:AI14 AH17:AH18 AH31 AH28 AH25:AH26 AH24 AH33 AH29:AH30 AH27 AH34:AH37 AH32 AH15 AH21:AH23 AH19:AH20 AH16 AE16:AG16 Y35:Z35 AG19:AG20 AG21:AG23 AG15 AG32 AG34:AG37 AG27 AG29:AG30 AG33 AG24 AG25:AG26 AG28 AG31 AD17:AG18 AD27:AD30 AD24 AD33 AE29:AE30 AE27 AD34:AE37 AD32:AE32 AD15 AD25:AF26 AE15:AF15 AE21:AF23 AE33:AF33 AF32 AF34:AF37 AE28:AF28 AF27 AD31:AF31 AF29:AF30 AE24:AF24 AD19:AD23 AE19:AF20 AB19:AB20 AC19:AC23 AA19:AA20 AA14:AB14 AB23 AB31:AC31 AB21 AB25:AC26 AB15 AC15 AB32:AC32 AB34:AC37 AB33:AC33 AB22 AB24:AC24 AB27:AC30 AA15 Y29:AA30 Y24:AA24 AA21 AA22 AA34:AA37 Y36:Z37 Y34:Z34 Y20:Z22 AA8:AB11 Y15:Z15 Y7:AG7 Y16:AD16 Y12:AG13 Y8:Z11 AC8:AG11 Y23:AA23 AJ22:AL22 AJ21:AL21 Y25:AA26 Y31:AA31 Y27:AA28 Y33:AA33 Y32:AA32 AI25:AL26 AI31:AL31 AJ23:AL23 Y14:Z14 AC14:AG14 Y19:Z19 AJ20:AL20 AJ19:AL19 AJ24:AL24 AI30:AL30 AI27:AL27 AJ28:AL28 AJ34:AL34 AJ36:AL37 AJ35:AL35 AI32:AL32 AJ33:AL33 AJ15:AL15 Y17:AC18 AI17:AL18 AI16:AL16 AJ7:AL7 AJ12:AL13 AJ8:AL11 AJ14:AL14 AJ29:AL29 AM24:AM37" formulaRange="1"/>
  </ignoredError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dimension ref="A1:AT97"/>
  <sheetViews>
    <sheetView showGridLines="0" view="pageBreakPreview" zoomScaleNormal="100" zoomScaleSheetLayoutView="100" zoomScalePageLayoutView="80" workbookViewId="0">
      <pane xSplit="2" ySplit="4" topLeftCell="AK5" activePane="bottomRight" state="frozen"/>
      <selection pane="topRight" activeCell="C1" sqref="C1"/>
      <selection pane="bottomLeft" activeCell="A5" sqref="A5"/>
      <selection pane="bottomRight" activeCell="AQ2" sqref="AQ2:AT2"/>
    </sheetView>
  </sheetViews>
  <sheetFormatPr defaultColWidth="8.85546875" defaultRowHeight="13.5" outlineLevelCol="1"/>
  <cols>
    <col min="1" max="1" width="54.140625" style="52" customWidth="1" outlineLevel="1"/>
    <col min="2" max="2" width="55.7109375" style="52" customWidth="1"/>
    <col min="3" max="46" width="8.140625" style="13" customWidth="1"/>
    <col min="47" max="16384" width="8.85546875" style="13"/>
  </cols>
  <sheetData>
    <row r="1" spans="1:46">
      <c r="A1" s="53" t="s">
        <v>424</v>
      </c>
      <c r="B1" s="53" t="s">
        <v>425</v>
      </c>
      <c r="C1" s="179"/>
      <c r="D1" s="179"/>
      <c r="E1" s="179"/>
      <c r="F1" s="179"/>
      <c r="G1" s="179"/>
      <c r="H1" s="179"/>
      <c r="I1" s="179"/>
      <c r="J1" s="179"/>
      <c r="K1" s="179"/>
      <c r="L1" s="179"/>
      <c r="M1" s="179"/>
      <c r="N1" s="179"/>
      <c r="O1" s="179"/>
      <c r="P1" s="179"/>
      <c r="Q1" s="179"/>
      <c r="R1" s="179"/>
      <c r="S1" s="179"/>
      <c r="T1" s="179"/>
      <c r="U1" s="179"/>
      <c r="V1" s="179"/>
      <c r="W1" s="179"/>
      <c r="X1" s="179"/>
      <c r="Y1" s="179"/>
      <c r="Z1" s="179"/>
      <c r="AA1" s="179"/>
      <c r="AB1" s="179"/>
      <c r="AC1" s="179"/>
      <c r="AD1" s="179"/>
      <c r="AE1" s="179"/>
      <c r="AF1" s="179"/>
      <c r="AG1" s="179"/>
      <c r="AH1" s="179"/>
      <c r="AI1" s="179"/>
      <c r="AJ1" s="179"/>
      <c r="AK1" s="179"/>
      <c r="AL1" s="179"/>
      <c r="AM1" s="179"/>
      <c r="AN1" s="179"/>
      <c r="AO1" s="179"/>
      <c r="AP1" s="179"/>
      <c r="AQ1" s="179"/>
      <c r="AS1" s="179"/>
      <c r="AT1" s="179"/>
    </row>
    <row r="2" spans="1:46">
      <c r="A2" s="639" t="s">
        <v>241</v>
      </c>
      <c r="B2" s="639" t="s">
        <v>74</v>
      </c>
      <c r="C2" s="636">
        <v>2007</v>
      </c>
      <c r="D2" s="641"/>
      <c r="E2" s="641"/>
      <c r="F2" s="641"/>
      <c r="G2" s="636">
        <v>2008</v>
      </c>
      <c r="H2" s="641"/>
      <c r="I2" s="641"/>
      <c r="J2" s="641"/>
      <c r="K2" s="636">
        <v>2009</v>
      </c>
      <c r="L2" s="641"/>
      <c r="M2" s="641"/>
      <c r="N2" s="641"/>
      <c r="O2" s="636">
        <v>2010</v>
      </c>
      <c r="P2" s="641"/>
      <c r="Q2" s="641"/>
      <c r="R2" s="641"/>
      <c r="S2" s="636">
        <v>2011</v>
      </c>
      <c r="T2" s="641"/>
      <c r="U2" s="641"/>
      <c r="V2" s="641"/>
      <c r="W2" s="636">
        <v>2012</v>
      </c>
      <c r="X2" s="641"/>
      <c r="Y2" s="641"/>
      <c r="Z2" s="642"/>
      <c r="AA2" s="636">
        <v>2013</v>
      </c>
      <c r="AB2" s="641"/>
      <c r="AC2" s="641"/>
      <c r="AD2" s="642"/>
      <c r="AE2" s="645">
        <v>2014</v>
      </c>
      <c r="AF2" s="641"/>
      <c r="AG2" s="641"/>
      <c r="AH2" s="642"/>
      <c r="AI2" s="645">
        <v>2015</v>
      </c>
      <c r="AJ2" s="641"/>
      <c r="AK2" s="641"/>
      <c r="AL2" s="642"/>
      <c r="AM2" s="645">
        <v>2016</v>
      </c>
      <c r="AN2" s="641"/>
      <c r="AO2" s="641"/>
      <c r="AP2" s="642"/>
      <c r="AQ2" s="713">
        <v>2017</v>
      </c>
      <c r="AR2" s="714"/>
      <c r="AS2" s="714"/>
      <c r="AT2" s="714"/>
    </row>
    <row r="3" spans="1:46" s="14" customFormat="1">
      <c r="A3" s="640"/>
      <c r="B3" s="640"/>
      <c r="C3" s="20" t="s">
        <v>149</v>
      </c>
      <c r="D3" s="21" t="s">
        <v>150</v>
      </c>
      <c r="E3" s="21" t="s">
        <v>151</v>
      </c>
      <c r="F3" s="21" t="s">
        <v>152</v>
      </c>
      <c r="G3" s="20" t="s">
        <v>149</v>
      </c>
      <c r="H3" s="21" t="s">
        <v>150</v>
      </c>
      <c r="I3" s="21" t="s">
        <v>151</v>
      </c>
      <c r="J3" s="21" t="s">
        <v>152</v>
      </c>
      <c r="K3" s="20" t="s">
        <v>149</v>
      </c>
      <c r="L3" s="21" t="s">
        <v>150</v>
      </c>
      <c r="M3" s="21" t="s">
        <v>151</v>
      </c>
      <c r="N3" s="21" t="s">
        <v>152</v>
      </c>
      <c r="O3" s="20" t="s">
        <v>149</v>
      </c>
      <c r="P3" s="21" t="s">
        <v>150</v>
      </c>
      <c r="Q3" s="21" t="s">
        <v>151</v>
      </c>
      <c r="R3" s="21" t="s">
        <v>152</v>
      </c>
      <c r="S3" s="20" t="s">
        <v>149</v>
      </c>
      <c r="T3" s="21" t="s">
        <v>150</v>
      </c>
      <c r="U3" s="21" t="s">
        <v>151</v>
      </c>
      <c r="V3" s="21" t="s">
        <v>152</v>
      </c>
      <c r="W3" s="20" t="s">
        <v>149</v>
      </c>
      <c r="X3" s="21" t="s">
        <v>150</v>
      </c>
      <c r="Y3" s="21" t="s">
        <v>151</v>
      </c>
      <c r="Z3" s="43" t="s">
        <v>152</v>
      </c>
      <c r="AA3" s="20" t="s">
        <v>149</v>
      </c>
      <c r="AB3" s="21" t="s">
        <v>150</v>
      </c>
      <c r="AC3" s="21" t="s">
        <v>151</v>
      </c>
      <c r="AD3" s="43" t="s">
        <v>152</v>
      </c>
      <c r="AE3" s="180" t="s">
        <v>149</v>
      </c>
      <c r="AF3" s="181" t="s">
        <v>150</v>
      </c>
      <c r="AG3" s="181" t="s">
        <v>151</v>
      </c>
      <c r="AH3" s="182" t="s">
        <v>152</v>
      </c>
      <c r="AI3" s="181" t="s">
        <v>149</v>
      </c>
      <c r="AJ3" s="181" t="s">
        <v>150</v>
      </c>
      <c r="AK3" s="181" t="s">
        <v>151</v>
      </c>
      <c r="AL3" s="182" t="s">
        <v>152</v>
      </c>
      <c r="AM3" s="181" t="s">
        <v>149</v>
      </c>
      <c r="AN3" s="181" t="s">
        <v>150</v>
      </c>
      <c r="AO3" s="181" t="s">
        <v>151</v>
      </c>
      <c r="AP3" s="182" t="s">
        <v>152</v>
      </c>
      <c r="AQ3" s="181" t="s">
        <v>149</v>
      </c>
      <c r="AR3" s="181" t="s">
        <v>150</v>
      </c>
      <c r="AS3" s="181" t="s">
        <v>151</v>
      </c>
      <c r="AT3" s="182" t="s">
        <v>152</v>
      </c>
    </row>
    <row r="4" spans="1:46" s="172" customFormat="1" ht="12.75" customHeight="1">
      <c r="A4" s="22" t="s">
        <v>154</v>
      </c>
      <c r="B4" s="22" t="s">
        <v>11</v>
      </c>
      <c r="C4" s="108"/>
      <c r="D4" s="109"/>
      <c r="E4" s="55"/>
      <c r="F4" s="109"/>
      <c r="G4" s="108"/>
      <c r="H4" s="109"/>
      <c r="I4" s="55"/>
      <c r="J4" s="110"/>
      <c r="K4" s="108"/>
      <c r="L4" s="109"/>
      <c r="M4" s="55"/>
      <c r="N4" s="110"/>
      <c r="O4" s="108"/>
      <c r="P4" s="109"/>
      <c r="Q4" s="55"/>
      <c r="R4" s="110"/>
      <c r="S4" s="108"/>
      <c r="T4" s="109"/>
      <c r="U4" s="55"/>
      <c r="V4" s="110"/>
      <c r="W4" s="108"/>
      <c r="X4" s="55"/>
      <c r="Y4" s="55"/>
      <c r="Z4" s="177"/>
      <c r="AA4" s="108"/>
      <c r="AB4" s="55"/>
      <c r="AC4" s="55"/>
      <c r="AD4" s="177"/>
      <c r="AE4" s="108"/>
      <c r="AF4" s="55"/>
      <c r="AG4" s="55"/>
      <c r="AH4" s="177"/>
      <c r="AI4" s="55"/>
      <c r="AJ4" s="55"/>
      <c r="AK4" s="55"/>
      <c r="AL4" s="177"/>
      <c r="AM4" s="55"/>
      <c r="AN4" s="55"/>
      <c r="AO4" s="55"/>
      <c r="AP4" s="177"/>
      <c r="AQ4" s="55"/>
      <c r="AR4" s="55"/>
      <c r="AS4" s="55"/>
      <c r="AT4" s="177"/>
    </row>
    <row r="5" spans="1:46" s="173" customFormat="1" ht="11.25">
      <c r="A5" s="31" t="s">
        <v>446</v>
      </c>
      <c r="B5" s="31" t="s">
        <v>438</v>
      </c>
      <c r="C5" s="32">
        <f>SUM(C6:C9)</f>
        <v>14362</v>
      </c>
      <c r="D5" s="33">
        <f t="shared" ref="D5:AC5" si="0">SUM(D6:D9)</f>
        <v>15091.300000000001</v>
      </c>
      <c r="E5" s="33">
        <f t="shared" si="0"/>
        <v>15905.499999999998</v>
      </c>
      <c r="F5" s="33">
        <f t="shared" si="0"/>
        <v>16786.899999999998</v>
      </c>
      <c r="G5" s="32">
        <f t="shared" si="0"/>
        <v>18454.099999999999</v>
      </c>
      <c r="H5" s="33">
        <f t="shared" si="0"/>
        <v>19814.300000000003</v>
      </c>
      <c r="I5" s="33">
        <f t="shared" si="0"/>
        <v>22105.7</v>
      </c>
      <c r="J5" s="34">
        <f t="shared" si="0"/>
        <v>24298</v>
      </c>
      <c r="K5" s="32">
        <f t="shared" si="0"/>
        <v>25614.5</v>
      </c>
      <c r="L5" s="33">
        <f t="shared" si="0"/>
        <v>25776.7</v>
      </c>
      <c r="M5" s="33">
        <f t="shared" si="0"/>
        <v>26134</v>
      </c>
      <c r="N5" s="34">
        <f t="shared" si="0"/>
        <v>27361.399999999998</v>
      </c>
      <c r="O5" s="32">
        <f t="shared" si="0"/>
        <v>27576.400000000001</v>
      </c>
      <c r="P5" s="33">
        <f t="shared" si="0"/>
        <v>28994.400000000001</v>
      </c>
      <c r="Q5" s="33">
        <f t="shared" si="0"/>
        <v>30667.8</v>
      </c>
      <c r="R5" s="34">
        <f t="shared" si="0"/>
        <v>32178.300000000003</v>
      </c>
      <c r="S5" s="32">
        <f t="shared" si="0"/>
        <v>32988.699999999997</v>
      </c>
      <c r="T5" s="33">
        <f t="shared" si="0"/>
        <v>34754.699999999997</v>
      </c>
      <c r="U5" s="33">
        <f t="shared" si="0"/>
        <v>36919.199999999997</v>
      </c>
      <c r="V5" s="34">
        <f t="shared" si="0"/>
        <v>39466.1</v>
      </c>
      <c r="W5" s="32">
        <f t="shared" si="0"/>
        <v>45105.9</v>
      </c>
      <c r="X5" s="33">
        <f t="shared" si="0"/>
        <v>45907.599999999991</v>
      </c>
      <c r="Y5" s="33">
        <f t="shared" si="0"/>
        <v>46744.9</v>
      </c>
      <c r="Z5" s="34">
        <f t="shared" si="0"/>
        <v>46509.999999999993</v>
      </c>
      <c r="AA5" s="32">
        <f t="shared" si="0"/>
        <v>46670.400000000001</v>
      </c>
      <c r="AB5" s="33">
        <f t="shared" si="0"/>
        <v>48136.700000000004</v>
      </c>
      <c r="AC5" s="33">
        <f t="shared" si="0"/>
        <v>49764.499999999993</v>
      </c>
      <c r="AD5" s="34">
        <f t="shared" ref="AD5:AI5" si="1">SUM(AD6:AD9)</f>
        <v>49982.299999999996</v>
      </c>
      <c r="AE5" s="32">
        <f t="shared" si="1"/>
        <v>52346.200000000012</v>
      </c>
      <c r="AF5" s="33">
        <f t="shared" si="1"/>
        <v>55099.1</v>
      </c>
      <c r="AG5" s="33">
        <f t="shared" si="1"/>
        <v>57750.80000000001</v>
      </c>
      <c r="AH5" s="34">
        <f t="shared" si="1"/>
        <v>58750.499999999993</v>
      </c>
      <c r="AI5" s="33">
        <f t="shared" si="1"/>
        <v>61323.1</v>
      </c>
      <c r="AJ5" s="33">
        <f t="shared" ref="AJ5:AT5" si="2">SUM(AJ6:AJ9)</f>
        <v>65943.7</v>
      </c>
      <c r="AK5" s="33">
        <f t="shared" si="2"/>
        <v>69046.499999999985</v>
      </c>
      <c r="AL5" s="34">
        <f t="shared" si="2"/>
        <v>70046.899999999994</v>
      </c>
      <c r="AM5" s="33">
        <f t="shared" si="2"/>
        <v>72906.999999999985</v>
      </c>
      <c r="AN5" s="33">
        <f t="shared" si="2"/>
        <v>75810.8</v>
      </c>
      <c r="AO5" s="33">
        <f>SUM(AO6:AO9)</f>
        <v>77888.3</v>
      </c>
      <c r="AP5" s="34">
        <f t="shared" si="2"/>
        <v>79447.899999999994</v>
      </c>
      <c r="AQ5" s="33">
        <f t="shared" si="2"/>
        <v>82129.999999999985</v>
      </c>
      <c r="AR5" s="33">
        <f t="shared" si="2"/>
        <v>84778.500000000015</v>
      </c>
      <c r="AS5" s="33">
        <f t="shared" si="2"/>
        <v>87895.900000000009</v>
      </c>
      <c r="AT5" s="33">
        <f t="shared" si="2"/>
        <v>89043.599999999991</v>
      </c>
    </row>
    <row r="6" spans="1:46" s="173" customFormat="1" ht="11.25">
      <c r="A6" s="30" t="s">
        <v>447</v>
      </c>
      <c r="B6" s="30" t="s">
        <v>439</v>
      </c>
      <c r="C6" s="27">
        <f>SUM(C30,C46,C54,C77)</f>
        <v>14102.2</v>
      </c>
      <c r="D6" s="28">
        <f t="shared" ref="D6:AD6" si="3">SUM(D30,D46,D54,D77)</f>
        <v>14839.2</v>
      </c>
      <c r="E6" s="28">
        <f t="shared" si="3"/>
        <v>15680.999999999998</v>
      </c>
      <c r="F6" s="28">
        <f t="shared" si="3"/>
        <v>16642.399999999998</v>
      </c>
      <c r="G6" s="27">
        <f t="shared" si="3"/>
        <v>18307.5</v>
      </c>
      <c r="H6" s="28">
        <f t="shared" si="3"/>
        <v>19662.900000000001</v>
      </c>
      <c r="I6" s="28">
        <f t="shared" si="3"/>
        <v>21911.9</v>
      </c>
      <c r="J6" s="29">
        <f t="shared" si="3"/>
        <v>23490.5</v>
      </c>
      <c r="K6" s="27">
        <f t="shared" si="3"/>
        <v>24706.100000000002</v>
      </c>
      <c r="L6" s="28">
        <f t="shared" si="3"/>
        <v>24904.100000000002</v>
      </c>
      <c r="M6" s="28">
        <f t="shared" si="3"/>
        <v>25418.5</v>
      </c>
      <c r="N6" s="29">
        <f t="shared" si="3"/>
        <v>26540.399999999998</v>
      </c>
      <c r="O6" s="27">
        <f t="shared" si="3"/>
        <v>26775.4</v>
      </c>
      <c r="P6" s="28">
        <f t="shared" si="3"/>
        <v>28108.9</v>
      </c>
      <c r="Q6" s="28">
        <f t="shared" si="3"/>
        <v>29478.9</v>
      </c>
      <c r="R6" s="29">
        <f t="shared" si="3"/>
        <v>30875.600000000002</v>
      </c>
      <c r="S6" s="27">
        <f t="shared" si="3"/>
        <v>31757.3</v>
      </c>
      <c r="T6" s="28">
        <f t="shared" si="3"/>
        <v>33488.199999999997</v>
      </c>
      <c r="U6" s="28">
        <f t="shared" si="3"/>
        <v>35278.699999999997</v>
      </c>
      <c r="V6" s="29">
        <f t="shared" si="3"/>
        <v>37103.699999999997</v>
      </c>
      <c r="W6" s="27">
        <f t="shared" si="3"/>
        <v>37990</v>
      </c>
      <c r="X6" s="28">
        <f t="shared" si="3"/>
        <v>38680.399999999994</v>
      </c>
      <c r="Y6" s="28">
        <f t="shared" si="3"/>
        <v>39366.6</v>
      </c>
      <c r="Z6" s="29">
        <f t="shared" si="3"/>
        <v>38898.599999999991</v>
      </c>
      <c r="AA6" s="27">
        <f t="shared" si="3"/>
        <v>39620.5</v>
      </c>
      <c r="AB6" s="28">
        <f t="shared" si="3"/>
        <v>40531.500000000007</v>
      </c>
      <c r="AC6" s="28">
        <f t="shared" si="3"/>
        <v>41697.399999999994</v>
      </c>
      <c r="AD6" s="29">
        <f t="shared" si="3"/>
        <v>41690.400000000001</v>
      </c>
      <c r="AE6" s="27">
        <f t="shared" ref="AE6:AJ6" si="4">SUM(AE30,AE46,AE54,AE77)</f>
        <v>43906.100000000006</v>
      </c>
      <c r="AF6" s="28">
        <f t="shared" si="4"/>
        <v>45983.3</v>
      </c>
      <c r="AG6" s="28">
        <f t="shared" si="4"/>
        <v>47661.600000000006</v>
      </c>
      <c r="AH6" s="29">
        <f t="shared" si="4"/>
        <v>48750.7</v>
      </c>
      <c r="AI6" s="28">
        <f t="shared" si="4"/>
        <v>51561.799999999996</v>
      </c>
      <c r="AJ6" s="28">
        <f t="shared" si="4"/>
        <v>55607</v>
      </c>
      <c r="AK6" s="28">
        <f>SUM(AK30,AK46,AK54,AK77)</f>
        <v>58058.7</v>
      </c>
      <c r="AL6" s="29">
        <f>SUM(AL30,AL46,AL54,AL77)</f>
        <v>58563.8</v>
      </c>
      <c r="AM6" s="28">
        <f>SUM(AM30,AM46,AM54,AM77)</f>
        <v>61492.399999999994</v>
      </c>
      <c r="AN6" s="28">
        <f>SUM(AN30,AN46,AN54,AN77)</f>
        <v>63743.5</v>
      </c>
      <c r="AO6" s="28">
        <v>65486.5</v>
      </c>
      <c r="AP6" s="29">
        <v>66783.899999999994</v>
      </c>
      <c r="AQ6" s="28">
        <v>69318.399999999994</v>
      </c>
      <c r="AR6" s="28">
        <f>SUM(AR30,AR46,AR54,AR77)</f>
        <v>71703.700000000012</v>
      </c>
      <c r="AS6" s="28">
        <f>SUM(AS30,AS46,AS54,AS77)</f>
        <v>74540.100000000006</v>
      </c>
      <c r="AT6" s="28">
        <f>SUM(AT30,AT46,AT54,AT77)</f>
        <v>75281.899999999994</v>
      </c>
    </row>
    <row r="7" spans="1:46" s="173" customFormat="1" ht="11.25">
      <c r="A7" s="26" t="s">
        <v>448</v>
      </c>
      <c r="B7" s="26" t="s">
        <v>433</v>
      </c>
      <c r="C7" s="27">
        <f>SUM(C33,C49,C57,C80)</f>
        <v>0</v>
      </c>
      <c r="D7" s="28">
        <f t="shared" ref="D7:AD7" si="5">SUM(D33,D49,D57,D80)</f>
        <v>0</v>
      </c>
      <c r="E7" s="28">
        <f t="shared" si="5"/>
        <v>0</v>
      </c>
      <c r="F7" s="28">
        <f t="shared" si="5"/>
        <v>0</v>
      </c>
      <c r="G7" s="27">
        <f t="shared" si="5"/>
        <v>0</v>
      </c>
      <c r="H7" s="28">
        <f t="shared" si="5"/>
        <v>0</v>
      </c>
      <c r="I7" s="28">
        <f t="shared" si="5"/>
        <v>0</v>
      </c>
      <c r="J7" s="29">
        <f t="shared" si="5"/>
        <v>0</v>
      </c>
      <c r="K7" s="27">
        <f t="shared" si="5"/>
        <v>0</v>
      </c>
      <c r="L7" s="28">
        <f t="shared" si="5"/>
        <v>0</v>
      </c>
      <c r="M7" s="28">
        <f t="shared" si="5"/>
        <v>0</v>
      </c>
      <c r="N7" s="29">
        <f t="shared" si="5"/>
        <v>0</v>
      </c>
      <c r="O7" s="27">
        <f t="shared" si="5"/>
        <v>0</v>
      </c>
      <c r="P7" s="28">
        <f t="shared" si="5"/>
        <v>0</v>
      </c>
      <c r="Q7" s="28">
        <f t="shared" si="5"/>
        <v>0</v>
      </c>
      <c r="R7" s="29">
        <f t="shared" si="5"/>
        <v>0</v>
      </c>
      <c r="S7" s="27">
        <f t="shared" si="5"/>
        <v>0</v>
      </c>
      <c r="T7" s="28">
        <f t="shared" si="5"/>
        <v>0</v>
      </c>
      <c r="U7" s="28">
        <f t="shared" si="5"/>
        <v>0</v>
      </c>
      <c r="V7" s="29">
        <f t="shared" si="5"/>
        <v>0</v>
      </c>
      <c r="W7" s="27">
        <f t="shared" si="5"/>
        <v>3108.2999999999997</v>
      </c>
      <c r="X7" s="28">
        <f t="shared" si="5"/>
        <v>3146.2</v>
      </c>
      <c r="Y7" s="28">
        <f t="shared" si="5"/>
        <v>3135.3999999999996</v>
      </c>
      <c r="Z7" s="29">
        <f t="shared" si="5"/>
        <v>3233.9</v>
      </c>
      <c r="AA7" s="27">
        <f t="shared" si="5"/>
        <v>3251.8</v>
      </c>
      <c r="AB7" s="28">
        <f>SUM(AB33,AB49,AB57,AB80)</f>
        <v>3382.4</v>
      </c>
      <c r="AC7" s="28">
        <f t="shared" si="5"/>
        <v>3526.6</v>
      </c>
      <c r="AD7" s="29">
        <f t="shared" si="5"/>
        <v>3650.5</v>
      </c>
      <c r="AE7" s="27">
        <f t="shared" ref="AE7:AL8" si="6">SUM(AE33,AE49,AE57,AE80)</f>
        <v>3836.9</v>
      </c>
      <c r="AF7" s="28">
        <f t="shared" si="6"/>
        <v>4226.7</v>
      </c>
      <c r="AG7" s="28">
        <f t="shared" si="6"/>
        <v>4307.8</v>
      </c>
      <c r="AH7" s="29">
        <f t="shared" si="6"/>
        <v>4397.7000000000007</v>
      </c>
      <c r="AI7" s="28">
        <f t="shared" si="6"/>
        <v>4353.2000000000007</v>
      </c>
      <c r="AJ7" s="28">
        <f t="shared" si="6"/>
        <v>4655.2000000000007</v>
      </c>
      <c r="AK7" s="28">
        <f t="shared" si="6"/>
        <v>4828</v>
      </c>
      <c r="AL7" s="29">
        <f t="shared" si="6"/>
        <v>4922.0999999999995</v>
      </c>
      <c r="AM7" s="28">
        <f>SUM(AM33,AM49,AM57,AM80)</f>
        <v>5066.3999999999996</v>
      </c>
      <c r="AN7" s="28">
        <f>SUM(AN33,AN49,AN57,AN80)</f>
        <v>5492.9</v>
      </c>
      <c r="AO7" s="28">
        <v>5555.7</v>
      </c>
      <c r="AP7" s="29">
        <v>5760.5</v>
      </c>
      <c r="AQ7" s="28">
        <v>5814.2</v>
      </c>
      <c r="AR7" s="28">
        <f t="shared" ref="AR7:AT8" si="7">SUM(AR33,AR49,AR57,AR80)</f>
        <v>6126.4</v>
      </c>
      <c r="AS7" s="28">
        <f t="shared" si="7"/>
        <v>6356.0999999999995</v>
      </c>
      <c r="AT7" s="28">
        <f t="shared" si="7"/>
        <v>6593</v>
      </c>
    </row>
    <row r="8" spans="1:46" s="173" customFormat="1" ht="11.25">
      <c r="A8" s="26" t="s">
        <v>449</v>
      </c>
      <c r="B8" s="26" t="s">
        <v>434</v>
      </c>
      <c r="C8" s="27">
        <f>SUM(C34,C50,C58,C81)</f>
        <v>151.30000000000001</v>
      </c>
      <c r="D8" s="28">
        <f t="shared" ref="D8:AD8" si="8">SUM(D34,D50,D58,D81)</f>
        <v>150.70000000000002</v>
      </c>
      <c r="E8" s="28">
        <f t="shared" si="8"/>
        <v>127.9</v>
      </c>
      <c r="F8" s="28">
        <f t="shared" si="8"/>
        <v>131</v>
      </c>
      <c r="G8" s="27">
        <f t="shared" si="8"/>
        <v>133.1</v>
      </c>
      <c r="H8" s="28">
        <f t="shared" si="8"/>
        <v>137.9</v>
      </c>
      <c r="I8" s="28">
        <f t="shared" si="8"/>
        <v>180.3</v>
      </c>
      <c r="J8" s="29">
        <f t="shared" si="8"/>
        <v>167</v>
      </c>
      <c r="K8" s="27">
        <f t="shared" si="8"/>
        <v>273.59999999999997</v>
      </c>
      <c r="L8" s="28">
        <f t="shared" si="8"/>
        <v>255.5</v>
      </c>
      <c r="M8" s="28">
        <f t="shared" si="8"/>
        <v>178.5</v>
      </c>
      <c r="N8" s="29">
        <f t="shared" si="8"/>
        <v>175.6</v>
      </c>
      <c r="O8" s="27">
        <f t="shared" si="8"/>
        <v>144.60000000000002</v>
      </c>
      <c r="P8" s="28">
        <f t="shared" si="8"/>
        <v>173.6</v>
      </c>
      <c r="Q8" s="28">
        <f t="shared" si="8"/>
        <v>167.3</v>
      </c>
      <c r="R8" s="29">
        <f t="shared" si="8"/>
        <v>124.8</v>
      </c>
      <c r="S8" s="27">
        <f t="shared" si="8"/>
        <v>110.5</v>
      </c>
      <c r="T8" s="28">
        <f t="shared" si="8"/>
        <v>198.6</v>
      </c>
      <c r="U8" s="28">
        <f t="shared" si="8"/>
        <v>283.10000000000002</v>
      </c>
      <c r="V8" s="29">
        <f t="shared" si="8"/>
        <v>275.40000000000003</v>
      </c>
      <c r="W8" s="27">
        <f t="shared" si="8"/>
        <v>1860.1000000000001</v>
      </c>
      <c r="X8" s="28">
        <f t="shared" si="8"/>
        <v>2100.3000000000002</v>
      </c>
      <c r="Y8" s="28">
        <f t="shared" si="8"/>
        <v>2028.9</v>
      </c>
      <c r="Z8" s="29">
        <f t="shared" si="8"/>
        <v>2212.1</v>
      </c>
      <c r="AA8" s="27">
        <f t="shared" si="8"/>
        <v>1966.5</v>
      </c>
      <c r="AB8" s="28">
        <f t="shared" si="8"/>
        <v>2231.6000000000004</v>
      </c>
      <c r="AC8" s="28">
        <f t="shared" si="8"/>
        <v>2452.1999999999994</v>
      </c>
      <c r="AD8" s="29">
        <f t="shared" si="8"/>
        <v>2465.6999999999998</v>
      </c>
      <c r="AE8" s="27">
        <f t="shared" si="6"/>
        <v>2375.2999999999997</v>
      </c>
      <c r="AF8" s="28">
        <f t="shared" si="6"/>
        <v>2638.0000000000005</v>
      </c>
      <c r="AG8" s="28">
        <f t="shared" si="6"/>
        <v>2881.1</v>
      </c>
      <c r="AH8" s="29">
        <f t="shared" si="6"/>
        <v>2830.4</v>
      </c>
      <c r="AI8" s="28">
        <f t="shared" si="6"/>
        <v>2582.6000000000004</v>
      </c>
      <c r="AJ8" s="28">
        <f t="shared" si="6"/>
        <v>2836.4000000000005</v>
      </c>
      <c r="AK8" s="28">
        <f t="shared" si="6"/>
        <v>3151.4</v>
      </c>
      <c r="AL8" s="29">
        <f t="shared" si="6"/>
        <v>3402</v>
      </c>
      <c r="AM8" s="28">
        <f>SUM(AM34,AM50,AM58,AM81)</f>
        <v>3413.9</v>
      </c>
      <c r="AN8" s="28">
        <f>SUM(AN34,AN50,AN58,AN81)</f>
        <v>4047.3</v>
      </c>
      <c r="AO8" s="28">
        <v>4286</v>
      </c>
      <c r="AP8" s="29">
        <v>4373.6000000000004</v>
      </c>
      <c r="AQ8" s="28">
        <v>4536.8999999999996</v>
      </c>
      <c r="AR8" s="28">
        <f t="shared" si="7"/>
        <v>4643.0999999999995</v>
      </c>
      <c r="AS8" s="28">
        <f t="shared" si="7"/>
        <v>4743.3</v>
      </c>
      <c r="AT8" s="28">
        <f t="shared" si="7"/>
        <v>4620.3999999999996</v>
      </c>
    </row>
    <row r="9" spans="1:46" s="172" customFormat="1" ht="11.25">
      <c r="A9" s="30" t="s">
        <v>519</v>
      </c>
      <c r="B9" s="30" t="s">
        <v>514</v>
      </c>
      <c r="C9" s="27">
        <f>SUM(C51,C82)</f>
        <v>108.5</v>
      </c>
      <c r="D9" s="28">
        <f t="shared" ref="D9:AD9" si="9">SUM(D51,D82)</f>
        <v>101.4</v>
      </c>
      <c r="E9" s="28">
        <f t="shared" si="9"/>
        <v>96.6</v>
      </c>
      <c r="F9" s="28">
        <f t="shared" si="9"/>
        <v>13.5</v>
      </c>
      <c r="G9" s="27">
        <f t="shared" si="9"/>
        <v>13.5</v>
      </c>
      <c r="H9" s="28">
        <f t="shared" si="9"/>
        <v>13.5</v>
      </c>
      <c r="I9" s="28">
        <f t="shared" si="9"/>
        <v>13.5</v>
      </c>
      <c r="J9" s="29">
        <f t="shared" si="9"/>
        <v>640.49999999999989</v>
      </c>
      <c r="K9" s="27">
        <f t="shared" si="9"/>
        <v>634.79999999999995</v>
      </c>
      <c r="L9" s="28">
        <f t="shared" si="9"/>
        <v>617.09999999999991</v>
      </c>
      <c r="M9" s="28">
        <f t="shared" si="9"/>
        <v>537</v>
      </c>
      <c r="N9" s="29">
        <f t="shared" si="9"/>
        <v>645.40000000000009</v>
      </c>
      <c r="O9" s="27">
        <f t="shared" si="9"/>
        <v>656.39999999999986</v>
      </c>
      <c r="P9" s="28">
        <f t="shared" si="9"/>
        <v>711.90000000000032</v>
      </c>
      <c r="Q9" s="28">
        <f t="shared" si="9"/>
        <v>1021.5999999999999</v>
      </c>
      <c r="R9" s="29">
        <f t="shared" si="9"/>
        <v>1177.9000000000001</v>
      </c>
      <c r="S9" s="27">
        <f t="shared" si="9"/>
        <v>1120.8999999999999</v>
      </c>
      <c r="T9" s="28">
        <f t="shared" si="9"/>
        <v>1067.9000000000001</v>
      </c>
      <c r="U9" s="28">
        <f t="shared" si="9"/>
        <v>1357.4000000000003</v>
      </c>
      <c r="V9" s="29">
        <f t="shared" si="9"/>
        <v>2087</v>
      </c>
      <c r="W9" s="27">
        <f t="shared" si="9"/>
        <v>2147.5</v>
      </c>
      <c r="X9" s="28">
        <f t="shared" si="9"/>
        <v>1980.7000000000003</v>
      </c>
      <c r="Y9" s="28">
        <f t="shared" si="9"/>
        <v>2214</v>
      </c>
      <c r="Z9" s="29">
        <f t="shared" si="9"/>
        <v>2165.4000000000005</v>
      </c>
      <c r="AA9" s="27">
        <f t="shared" si="9"/>
        <v>1831.6000000000001</v>
      </c>
      <c r="AB9" s="28">
        <f t="shared" si="9"/>
        <v>1991.1999999999998</v>
      </c>
      <c r="AC9" s="28">
        <f t="shared" si="9"/>
        <v>2088.3000000000002</v>
      </c>
      <c r="AD9" s="29">
        <f t="shared" si="9"/>
        <v>2175.6999999999998</v>
      </c>
      <c r="AE9" s="27">
        <f t="shared" ref="AE9:AJ9" si="10">SUM(AE51,AE82)</f>
        <v>2227.9</v>
      </c>
      <c r="AF9" s="28">
        <f t="shared" si="10"/>
        <v>2251.1</v>
      </c>
      <c r="AG9" s="28">
        <f t="shared" si="10"/>
        <v>2900.3</v>
      </c>
      <c r="AH9" s="29">
        <f t="shared" si="10"/>
        <v>2771.7</v>
      </c>
      <c r="AI9" s="28">
        <f t="shared" si="10"/>
        <v>2825.5</v>
      </c>
      <c r="AJ9" s="28">
        <f t="shared" si="10"/>
        <v>2845.1</v>
      </c>
      <c r="AK9" s="28">
        <f>SUM(AK51,AK82)</f>
        <v>3008.4</v>
      </c>
      <c r="AL9" s="29">
        <f>SUM(AL35,AL51,AL82)</f>
        <v>3159</v>
      </c>
      <c r="AM9" s="28">
        <f>SUM(AM35,AM51,AM82)</f>
        <v>2934.3</v>
      </c>
      <c r="AN9" s="28">
        <f>SUM(AN35,AN51,AN82)</f>
        <v>2527.1</v>
      </c>
      <c r="AO9" s="28">
        <v>2560.1</v>
      </c>
      <c r="AP9" s="29">
        <v>2529.9</v>
      </c>
      <c r="AQ9" s="28">
        <v>2460.5</v>
      </c>
      <c r="AR9" s="28">
        <f>SUM(AR35,AR51,AR82)</f>
        <v>2305.3000000000002</v>
      </c>
      <c r="AS9" s="28">
        <f>SUM(AS35,AS51,AS82)</f>
        <v>2256.4</v>
      </c>
      <c r="AT9" s="28">
        <f>SUM(AT35,AT51,AT82)</f>
        <v>2548.3000000000002</v>
      </c>
    </row>
    <row r="10" spans="1:46" s="175" customFormat="1" ht="11.25">
      <c r="A10" s="31" t="s">
        <v>450</v>
      </c>
      <c r="B10" s="31" t="s">
        <v>440</v>
      </c>
      <c r="C10" s="32">
        <f>SUM(C11:C12)</f>
        <v>95.1</v>
      </c>
      <c r="D10" s="33">
        <f t="shared" ref="D10:AD10" si="11">SUM(D11:D12)</f>
        <v>103.9</v>
      </c>
      <c r="E10" s="33">
        <f t="shared" si="11"/>
        <v>101</v>
      </c>
      <c r="F10" s="33">
        <f t="shared" si="11"/>
        <v>153.6</v>
      </c>
      <c r="G10" s="32">
        <f t="shared" si="11"/>
        <v>159.1</v>
      </c>
      <c r="H10" s="33">
        <f t="shared" si="11"/>
        <v>158.5</v>
      </c>
      <c r="I10" s="33">
        <f t="shared" si="11"/>
        <v>224.10000000000002</v>
      </c>
      <c r="J10" s="34">
        <f t="shared" si="11"/>
        <v>1788.9</v>
      </c>
      <c r="K10" s="32">
        <f t="shared" si="11"/>
        <v>3930.2</v>
      </c>
      <c r="L10" s="33">
        <f t="shared" si="11"/>
        <v>3602.2999999999997</v>
      </c>
      <c r="M10" s="33">
        <f t="shared" si="11"/>
        <v>3511.2000000000003</v>
      </c>
      <c r="N10" s="34">
        <f t="shared" si="11"/>
        <v>3486</v>
      </c>
      <c r="O10" s="32">
        <f t="shared" si="11"/>
        <v>3331.7000000000003</v>
      </c>
      <c r="P10" s="33">
        <f t="shared" si="11"/>
        <v>3635.2999999999997</v>
      </c>
      <c r="Q10" s="33">
        <f t="shared" si="11"/>
        <v>3604.2999999999997</v>
      </c>
      <c r="R10" s="34">
        <f t="shared" si="11"/>
        <v>3416.1</v>
      </c>
      <c r="S10" s="32">
        <f t="shared" si="11"/>
        <v>3429.7999999999997</v>
      </c>
      <c r="T10" s="33">
        <f t="shared" si="11"/>
        <v>3401.6</v>
      </c>
      <c r="U10" s="33">
        <f t="shared" si="11"/>
        <v>3964.8999999999996</v>
      </c>
      <c r="V10" s="34">
        <f t="shared" si="11"/>
        <v>3977.6</v>
      </c>
      <c r="W10" s="32">
        <f t="shared" si="11"/>
        <v>3808.1</v>
      </c>
      <c r="X10" s="33">
        <f t="shared" si="11"/>
        <v>3874.7999999999997</v>
      </c>
      <c r="Y10" s="33">
        <f t="shared" si="11"/>
        <v>3890.1</v>
      </c>
      <c r="Z10" s="34">
        <f t="shared" si="11"/>
        <v>3904.5</v>
      </c>
      <c r="AA10" s="32">
        <f t="shared" si="11"/>
        <v>3923.1</v>
      </c>
      <c r="AB10" s="33">
        <f t="shared" si="11"/>
        <v>3910.5</v>
      </c>
      <c r="AC10" s="33">
        <f t="shared" si="11"/>
        <v>3838.7999999999997</v>
      </c>
      <c r="AD10" s="34">
        <f t="shared" si="11"/>
        <v>3815.2000000000003</v>
      </c>
      <c r="AE10" s="32">
        <f t="shared" ref="AE10:AJ10" si="12">SUM(AE11:AE12)</f>
        <v>3894.7999999999997</v>
      </c>
      <c r="AF10" s="33">
        <f t="shared" si="12"/>
        <v>3837.3</v>
      </c>
      <c r="AG10" s="33">
        <f t="shared" si="12"/>
        <v>4134.8999999999996</v>
      </c>
      <c r="AH10" s="34">
        <f t="shared" si="12"/>
        <v>4029.8</v>
      </c>
      <c r="AI10" s="33">
        <f t="shared" si="12"/>
        <v>3867.7999999999997</v>
      </c>
      <c r="AJ10" s="33">
        <f t="shared" si="12"/>
        <v>3846.1</v>
      </c>
      <c r="AK10" s="33">
        <f t="shared" ref="AK10:AR10" si="13">SUM(AK11:AK12)</f>
        <v>3884.6</v>
      </c>
      <c r="AL10" s="34">
        <f t="shared" si="13"/>
        <v>4019.6</v>
      </c>
      <c r="AM10" s="33">
        <f t="shared" si="13"/>
        <v>3980.1</v>
      </c>
      <c r="AN10" s="33">
        <f t="shared" si="13"/>
        <v>3978.6</v>
      </c>
      <c r="AO10" s="33">
        <f t="shared" si="13"/>
        <v>3944</v>
      </c>
      <c r="AP10" s="34">
        <f t="shared" si="13"/>
        <v>3999.2999999999997</v>
      </c>
      <c r="AQ10" s="33">
        <f t="shared" si="13"/>
        <v>3765.8</v>
      </c>
      <c r="AR10" s="33">
        <f t="shared" si="13"/>
        <v>3659.6000000000004</v>
      </c>
      <c r="AS10" s="33">
        <f>SUM(AS11:AS12)</f>
        <v>3784.1</v>
      </c>
      <c r="AT10" s="33">
        <f>SUM(AT11:AT12)</f>
        <v>3712.3</v>
      </c>
    </row>
    <row r="11" spans="1:46" s="172" customFormat="1" ht="11.25">
      <c r="A11" s="30" t="s">
        <v>451</v>
      </c>
      <c r="B11" s="30" t="s">
        <v>441</v>
      </c>
      <c r="C11" s="27">
        <f>SUM(C83)</f>
        <v>0</v>
      </c>
      <c r="D11" s="28">
        <f t="shared" ref="D11:AD11" si="14">SUM(D83)</f>
        <v>0</v>
      </c>
      <c r="E11" s="28">
        <f t="shared" si="14"/>
        <v>0</v>
      </c>
      <c r="F11" s="28">
        <f t="shared" si="14"/>
        <v>0</v>
      </c>
      <c r="G11" s="27">
        <f t="shared" si="14"/>
        <v>0</v>
      </c>
      <c r="H11" s="28">
        <f t="shared" si="14"/>
        <v>0</v>
      </c>
      <c r="I11" s="28">
        <f t="shared" si="14"/>
        <v>0</v>
      </c>
      <c r="J11" s="29">
        <f t="shared" si="14"/>
        <v>1654</v>
      </c>
      <c r="K11" s="27">
        <f t="shared" si="14"/>
        <v>3775.2</v>
      </c>
      <c r="L11" s="28">
        <f t="shared" si="14"/>
        <v>3439.1</v>
      </c>
      <c r="M11" s="28">
        <f t="shared" si="14"/>
        <v>3348.9</v>
      </c>
      <c r="N11" s="29">
        <f t="shared" si="14"/>
        <v>3261.9</v>
      </c>
      <c r="O11" s="27">
        <f t="shared" si="14"/>
        <v>3147.9</v>
      </c>
      <c r="P11" s="28">
        <f t="shared" si="14"/>
        <v>3447.7</v>
      </c>
      <c r="Q11" s="28">
        <f t="shared" si="14"/>
        <v>3425.1</v>
      </c>
      <c r="R11" s="29">
        <f t="shared" si="14"/>
        <v>3268.5</v>
      </c>
      <c r="S11" s="27">
        <f t="shared" si="14"/>
        <v>3215.6</v>
      </c>
      <c r="T11" s="28">
        <f t="shared" si="14"/>
        <v>3189</v>
      </c>
      <c r="U11" s="28">
        <f t="shared" si="14"/>
        <v>3786.2</v>
      </c>
      <c r="V11" s="29">
        <f t="shared" si="14"/>
        <v>3872.6</v>
      </c>
      <c r="W11" s="27">
        <f t="shared" si="14"/>
        <v>3680.7</v>
      </c>
      <c r="X11" s="28">
        <f t="shared" si="14"/>
        <v>3758.2</v>
      </c>
      <c r="Y11" s="28">
        <f t="shared" si="14"/>
        <v>3732.5</v>
      </c>
      <c r="Z11" s="29">
        <f t="shared" si="14"/>
        <v>3779.7</v>
      </c>
      <c r="AA11" s="27">
        <f t="shared" si="14"/>
        <v>3817.7</v>
      </c>
      <c r="AB11" s="28">
        <f t="shared" si="14"/>
        <v>3794.3</v>
      </c>
      <c r="AC11" s="28">
        <f t="shared" si="14"/>
        <v>3723.1</v>
      </c>
      <c r="AD11" s="29">
        <f t="shared" si="14"/>
        <v>3685.8</v>
      </c>
      <c r="AE11" s="27">
        <f t="shared" ref="AE11:AJ11" si="15">SUM(AE83)</f>
        <v>3750.2</v>
      </c>
      <c r="AF11" s="28">
        <f t="shared" si="15"/>
        <v>3723.5</v>
      </c>
      <c r="AG11" s="28">
        <f t="shared" si="15"/>
        <v>3800.5</v>
      </c>
      <c r="AH11" s="29">
        <f t="shared" si="15"/>
        <v>3923.9</v>
      </c>
      <c r="AI11" s="28">
        <f t="shared" si="15"/>
        <v>3750.6</v>
      </c>
      <c r="AJ11" s="28">
        <f t="shared" si="15"/>
        <v>3711.2</v>
      </c>
      <c r="AK11" s="28">
        <f>SUM(AK83)</f>
        <v>3793.6</v>
      </c>
      <c r="AL11" s="29">
        <f>SUM(AL83)</f>
        <v>3838.6</v>
      </c>
      <c r="AM11" s="28">
        <f>SUM(AM83)</f>
        <v>3853.4</v>
      </c>
      <c r="AN11" s="28">
        <f>SUM(AN83)</f>
        <v>3909.7</v>
      </c>
      <c r="AO11" s="28">
        <v>3822.7</v>
      </c>
      <c r="AP11" s="29">
        <v>3910.7</v>
      </c>
      <c r="AQ11" s="28">
        <v>3686.5</v>
      </c>
      <c r="AR11" s="28">
        <f>SUM(AR83)</f>
        <v>3589.8</v>
      </c>
      <c r="AS11" s="28">
        <f>SUM(AS83)</f>
        <v>3674.4</v>
      </c>
      <c r="AT11" s="28">
        <f>SUM(AT83)</f>
        <v>3564.8</v>
      </c>
    </row>
    <row r="12" spans="1:46" s="175" customFormat="1" ht="11.25">
      <c r="A12" s="35" t="s">
        <v>452</v>
      </c>
      <c r="B12" s="35" t="s">
        <v>435</v>
      </c>
      <c r="C12" s="27">
        <f>SUM(C36,C52,C59,C84)</f>
        <v>95.1</v>
      </c>
      <c r="D12" s="28">
        <f t="shared" ref="D12:AD12" si="16">SUM(D36,D52,D59,D84)</f>
        <v>103.9</v>
      </c>
      <c r="E12" s="28">
        <f t="shared" si="16"/>
        <v>101</v>
      </c>
      <c r="F12" s="28">
        <f t="shared" si="16"/>
        <v>153.6</v>
      </c>
      <c r="G12" s="27">
        <f t="shared" si="16"/>
        <v>159.1</v>
      </c>
      <c r="H12" s="28">
        <f t="shared" si="16"/>
        <v>158.5</v>
      </c>
      <c r="I12" s="28">
        <f t="shared" si="16"/>
        <v>224.10000000000002</v>
      </c>
      <c r="J12" s="29">
        <f t="shared" si="16"/>
        <v>134.9</v>
      </c>
      <c r="K12" s="27">
        <f t="shared" si="16"/>
        <v>155</v>
      </c>
      <c r="L12" s="28">
        <f t="shared" si="16"/>
        <v>163.19999999999999</v>
      </c>
      <c r="M12" s="28">
        <f t="shared" si="16"/>
        <v>162.30000000000001</v>
      </c>
      <c r="N12" s="29">
        <f t="shared" si="16"/>
        <v>224.10000000000002</v>
      </c>
      <c r="O12" s="27">
        <f t="shared" si="16"/>
        <v>183.8</v>
      </c>
      <c r="P12" s="28">
        <f t="shared" si="16"/>
        <v>187.6</v>
      </c>
      <c r="Q12" s="28">
        <f t="shared" si="16"/>
        <v>179.2</v>
      </c>
      <c r="R12" s="29">
        <f t="shared" si="16"/>
        <v>147.6</v>
      </c>
      <c r="S12" s="27">
        <f t="shared" si="16"/>
        <v>214.2</v>
      </c>
      <c r="T12" s="28">
        <f t="shared" si="16"/>
        <v>212.60000000000002</v>
      </c>
      <c r="U12" s="28">
        <f t="shared" si="16"/>
        <v>178.7</v>
      </c>
      <c r="V12" s="29">
        <f t="shared" si="16"/>
        <v>105</v>
      </c>
      <c r="W12" s="27">
        <f t="shared" si="16"/>
        <v>127.4</v>
      </c>
      <c r="X12" s="28">
        <f t="shared" si="16"/>
        <v>116.60000000000001</v>
      </c>
      <c r="Y12" s="28">
        <f t="shared" si="16"/>
        <v>157.6</v>
      </c>
      <c r="Z12" s="29">
        <f t="shared" si="16"/>
        <v>124.80000000000001</v>
      </c>
      <c r="AA12" s="27">
        <f t="shared" si="16"/>
        <v>105.39999999999999</v>
      </c>
      <c r="AB12" s="28">
        <f t="shared" si="16"/>
        <v>116.2</v>
      </c>
      <c r="AC12" s="28">
        <f t="shared" si="16"/>
        <v>115.7</v>
      </c>
      <c r="AD12" s="29">
        <f t="shared" si="16"/>
        <v>129.4</v>
      </c>
      <c r="AE12" s="27">
        <f t="shared" ref="AE12:AJ12" si="17">SUM(AE36,AE52,AE59,AE84)</f>
        <v>144.60000000000002</v>
      </c>
      <c r="AF12" s="28">
        <f t="shared" si="17"/>
        <v>113.80000000000001</v>
      </c>
      <c r="AG12" s="28">
        <f t="shared" si="17"/>
        <v>334.4</v>
      </c>
      <c r="AH12" s="29">
        <f t="shared" si="17"/>
        <v>105.9</v>
      </c>
      <c r="AI12" s="28">
        <f t="shared" si="17"/>
        <v>117.2</v>
      </c>
      <c r="AJ12" s="28">
        <f t="shared" si="17"/>
        <v>134.9</v>
      </c>
      <c r="AK12" s="28">
        <f>SUM(AK36,AK52,AK59,AK84)</f>
        <v>91</v>
      </c>
      <c r="AL12" s="29">
        <f>SUM(AL36,AL52,AL59,AL84)</f>
        <v>181</v>
      </c>
      <c r="AM12" s="28">
        <f>SUM(AM36,AM52,AM59,AM84)</f>
        <v>126.69999999999999</v>
      </c>
      <c r="AN12" s="28">
        <f>SUM(AN36,AN52,AN59,AN84)</f>
        <v>68.900000000000006</v>
      </c>
      <c r="AO12" s="28">
        <v>121.3</v>
      </c>
      <c r="AP12" s="29">
        <v>88.6</v>
      </c>
      <c r="AQ12" s="28">
        <v>79.3</v>
      </c>
      <c r="AR12" s="28">
        <f>SUM(AR36,AR52,AR59,AR84)</f>
        <v>69.8</v>
      </c>
      <c r="AS12" s="28">
        <f>SUM(AS36,AS52,AS59,AS84)</f>
        <v>109.7</v>
      </c>
      <c r="AT12" s="28">
        <f>SUM(AT36,AT52,AT59,AT84)</f>
        <v>147.5</v>
      </c>
    </row>
    <row r="13" spans="1:46" s="173" customFormat="1" ht="11.25">
      <c r="A13" s="31" t="s">
        <v>245</v>
      </c>
      <c r="B13" s="31" t="s">
        <v>78</v>
      </c>
      <c r="C13" s="32">
        <f>SUM(C5,C10)</f>
        <v>14457.1</v>
      </c>
      <c r="D13" s="33">
        <f t="shared" ref="D13:AD13" si="18">SUM(D5,D10)</f>
        <v>15195.2</v>
      </c>
      <c r="E13" s="33">
        <f t="shared" si="18"/>
        <v>16006.499999999998</v>
      </c>
      <c r="F13" s="33">
        <f t="shared" si="18"/>
        <v>16940.499999999996</v>
      </c>
      <c r="G13" s="32">
        <f t="shared" si="18"/>
        <v>18613.199999999997</v>
      </c>
      <c r="H13" s="33">
        <f t="shared" si="18"/>
        <v>19972.800000000003</v>
      </c>
      <c r="I13" s="33">
        <f t="shared" si="18"/>
        <v>22329.8</v>
      </c>
      <c r="J13" s="34">
        <f t="shared" si="18"/>
        <v>26086.9</v>
      </c>
      <c r="K13" s="32">
        <f t="shared" si="18"/>
        <v>29544.7</v>
      </c>
      <c r="L13" s="33">
        <f t="shared" si="18"/>
        <v>29379</v>
      </c>
      <c r="M13" s="33">
        <f t="shared" si="18"/>
        <v>29645.200000000001</v>
      </c>
      <c r="N13" s="34">
        <f t="shared" si="18"/>
        <v>30847.399999999998</v>
      </c>
      <c r="O13" s="32">
        <f t="shared" si="18"/>
        <v>30908.100000000002</v>
      </c>
      <c r="P13" s="33">
        <f t="shared" si="18"/>
        <v>32629.7</v>
      </c>
      <c r="Q13" s="33">
        <f t="shared" si="18"/>
        <v>34272.1</v>
      </c>
      <c r="R13" s="34">
        <f t="shared" si="18"/>
        <v>35594.400000000001</v>
      </c>
      <c r="S13" s="32">
        <f t="shared" si="18"/>
        <v>36418.5</v>
      </c>
      <c r="T13" s="33">
        <f t="shared" si="18"/>
        <v>38156.299999999996</v>
      </c>
      <c r="U13" s="33">
        <f t="shared" si="18"/>
        <v>40884.1</v>
      </c>
      <c r="V13" s="34">
        <f t="shared" si="18"/>
        <v>43443.7</v>
      </c>
      <c r="W13" s="32">
        <f t="shared" si="18"/>
        <v>48914</v>
      </c>
      <c r="X13" s="33">
        <f t="shared" si="18"/>
        <v>49782.399999999994</v>
      </c>
      <c r="Y13" s="33">
        <f>SUM(Y5,Y10)</f>
        <v>50635</v>
      </c>
      <c r="Z13" s="34">
        <f t="shared" si="18"/>
        <v>50414.499999999993</v>
      </c>
      <c r="AA13" s="32">
        <f t="shared" si="18"/>
        <v>50593.5</v>
      </c>
      <c r="AB13" s="33">
        <f t="shared" si="18"/>
        <v>52047.200000000004</v>
      </c>
      <c r="AC13" s="33">
        <f t="shared" si="18"/>
        <v>53603.299999999996</v>
      </c>
      <c r="AD13" s="34">
        <f t="shared" si="18"/>
        <v>53797.499999999993</v>
      </c>
      <c r="AE13" s="32">
        <f t="shared" ref="AE13:AJ13" si="19">SUM(AE5,AE10)</f>
        <v>56241.000000000015</v>
      </c>
      <c r="AF13" s="33">
        <f t="shared" si="19"/>
        <v>58936.4</v>
      </c>
      <c r="AG13" s="33">
        <f t="shared" si="19"/>
        <v>61885.700000000012</v>
      </c>
      <c r="AH13" s="34">
        <f t="shared" si="19"/>
        <v>62780.299999999996</v>
      </c>
      <c r="AI13" s="33">
        <f t="shared" si="19"/>
        <v>65190.9</v>
      </c>
      <c r="AJ13" s="33">
        <f t="shared" si="19"/>
        <v>69789.8</v>
      </c>
      <c r="AK13" s="33">
        <f t="shared" ref="AK13:AS13" si="20">SUM(AK5,AK10)</f>
        <v>72931.099999999991</v>
      </c>
      <c r="AL13" s="34">
        <f t="shared" si="20"/>
        <v>74066.5</v>
      </c>
      <c r="AM13" s="33">
        <f t="shared" si="20"/>
        <v>76887.099999999991</v>
      </c>
      <c r="AN13" s="33">
        <f t="shared" si="20"/>
        <v>79789.400000000009</v>
      </c>
      <c r="AO13" s="33">
        <f t="shared" si="20"/>
        <v>81832.3</v>
      </c>
      <c r="AP13" s="34">
        <f t="shared" si="20"/>
        <v>83447.199999999997</v>
      </c>
      <c r="AQ13" s="33">
        <f t="shared" si="20"/>
        <v>85895.799999999988</v>
      </c>
      <c r="AR13" s="33">
        <f t="shared" si="20"/>
        <v>88438.10000000002</v>
      </c>
      <c r="AS13" s="33">
        <f t="shared" si="20"/>
        <v>91680.000000000015</v>
      </c>
      <c r="AT13" s="33">
        <f>SUM(AT5,AT10)</f>
        <v>92755.9</v>
      </c>
    </row>
    <row r="14" spans="1:46" s="175" customFormat="1" ht="11.25">
      <c r="A14" s="30" t="s">
        <v>246</v>
      </c>
      <c r="B14" s="30" t="s">
        <v>79</v>
      </c>
      <c r="C14" s="27">
        <f>SUM(C15,C20)</f>
        <v>-674.50000000000011</v>
      </c>
      <c r="D14" s="28">
        <f t="shared" ref="D14:AD14" si="21">SUM(D15,D20)</f>
        <v>-628.00000000000011</v>
      </c>
      <c r="E14" s="28">
        <f t="shared" si="21"/>
        <v>-557.09999999999991</v>
      </c>
      <c r="F14" s="28">
        <f t="shared" si="21"/>
        <v>-561.40000000000009</v>
      </c>
      <c r="G14" s="27">
        <f t="shared" si="21"/>
        <v>-573.29999999999995</v>
      </c>
      <c r="H14" s="28">
        <f t="shared" si="21"/>
        <v>-403.4</v>
      </c>
      <c r="I14" s="28">
        <f t="shared" si="21"/>
        <v>-414.00000000000006</v>
      </c>
      <c r="J14" s="29">
        <f t="shared" si="21"/>
        <v>-502.2</v>
      </c>
      <c r="K14" s="27">
        <f t="shared" si="21"/>
        <v>-673.40000000000009</v>
      </c>
      <c r="L14" s="28">
        <f t="shared" si="21"/>
        <v>-765.09999999999991</v>
      </c>
      <c r="M14" s="28">
        <f t="shared" si="21"/>
        <v>-810</v>
      </c>
      <c r="N14" s="29">
        <f t="shared" si="21"/>
        <v>-881.3</v>
      </c>
      <c r="O14" s="27">
        <f t="shared" si="21"/>
        <v>-934.80000000000007</v>
      </c>
      <c r="P14" s="28">
        <f t="shared" si="21"/>
        <v>-976.60000000000014</v>
      </c>
      <c r="Q14" s="28">
        <f t="shared" si="21"/>
        <v>-1042.3</v>
      </c>
      <c r="R14" s="29">
        <f t="shared" si="21"/>
        <v>-1085.4000000000001</v>
      </c>
      <c r="S14" s="27">
        <f t="shared" si="21"/>
        <v>-1125.5999999999999</v>
      </c>
      <c r="T14" s="28">
        <f t="shared" si="21"/>
        <v>-1142.2</v>
      </c>
      <c r="U14" s="28">
        <f t="shared" si="21"/>
        <v>-1184.5</v>
      </c>
      <c r="V14" s="29">
        <f t="shared" si="21"/>
        <v>-1114</v>
      </c>
      <c r="W14" s="27">
        <f t="shared" si="21"/>
        <v>-1196.7</v>
      </c>
      <c r="X14" s="28">
        <f t="shared" si="21"/>
        <v>-1291.8</v>
      </c>
      <c r="Y14" s="28">
        <f t="shared" si="21"/>
        <v>-1359.9</v>
      </c>
      <c r="Z14" s="29">
        <f t="shared" si="21"/>
        <v>-1429.2000000000003</v>
      </c>
      <c r="AA14" s="27">
        <f t="shared" si="21"/>
        <v>-1474.2000000000003</v>
      </c>
      <c r="AB14" s="28">
        <f t="shared" si="21"/>
        <v>-1574.6999999999998</v>
      </c>
      <c r="AC14" s="28">
        <f t="shared" si="21"/>
        <v>-1498.1000000000001</v>
      </c>
      <c r="AD14" s="29">
        <f t="shared" si="21"/>
        <v>-1559.6</v>
      </c>
      <c r="AE14" s="27">
        <f t="shared" ref="AE14:AJ14" si="22">SUM(AE15,AE20)</f>
        <v>-1643.8999999999994</v>
      </c>
      <c r="AF14" s="28">
        <f t="shared" si="22"/>
        <v>-1617.3999999999999</v>
      </c>
      <c r="AG14" s="28">
        <f t="shared" si="22"/>
        <v>-1666.7</v>
      </c>
      <c r="AH14" s="29">
        <f t="shared" si="22"/>
        <v>-1725.5</v>
      </c>
      <c r="AI14" s="28">
        <f t="shared" si="22"/>
        <v>-1791.9</v>
      </c>
      <c r="AJ14" s="28">
        <f t="shared" si="22"/>
        <v>-1662.6</v>
      </c>
      <c r="AK14" s="28">
        <f t="shared" ref="AK14:AQ14" si="23">SUM(AK15,AK20)</f>
        <v>-1505.9000000000003</v>
      </c>
      <c r="AL14" s="29">
        <f t="shared" si="23"/>
        <v>-1546.9</v>
      </c>
      <c r="AM14" s="28">
        <f t="shared" si="23"/>
        <v>-1557.1</v>
      </c>
      <c r="AN14" s="28">
        <f t="shared" si="23"/>
        <v>-1480.7999999999997</v>
      </c>
      <c r="AO14" s="28">
        <f t="shared" si="23"/>
        <v>-1454.9</v>
      </c>
      <c r="AP14" s="29">
        <f t="shared" si="23"/>
        <v>-1467.7</v>
      </c>
      <c r="AQ14" s="28">
        <f t="shared" si="23"/>
        <v>-1516.2</v>
      </c>
      <c r="AR14" s="28">
        <f>SUM(AR15,AR20)</f>
        <v>-1535.8</v>
      </c>
      <c r="AS14" s="28">
        <f>SUM(AS15,AS20)</f>
        <v>-1592.6999999999998</v>
      </c>
      <c r="AT14" s="28">
        <f>SUM(AT15,AT20)</f>
        <v>-1667.5999999999997</v>
      </c>
    </row>
    <row r="15" spans="1:46" s="175" customFormat="1" ht="11.25">
      <c r="A15" s="30" t="s">
        <v>453</v>
      </c>
      <c r="B15" s="30" t="s">
        <v>442</v>
      </c>
      <c r="C15" s="27">
        <f>SUM(C16:C19)</f>
        <v>-665.90000000000009</v>
      </c>
      <c r="D15" s="28">
        <f t="shared" ref="D15:AD15" si="24">SUM(D16:D19)</f>
        <v>-619.40000000000009</v>
      </c>
      <c r="E15" s="28">
        <f t="shared" si="24"/>
        <v>-548.49999999999989</v>
      </c>
      <c r="F15" s="28">
        <f t="shared" si="24"/>
        <v>-552.80000000000007</v>
      </c>
      <c r="G15" s="27">
        <f t="shared" si="24"/>
        <v>-564.69999999999993</v>
      </c>
      <c r="H15" s="28">
        <f t="shared" si="24"/>
        <v>-394.79999999999995</v>
      </c>
      <c r="I15" s="28">
        <f t="shared" si="24"/>
        <v>-405.40000000000003</v>
      </c>
      <c r="J15" s="29">
        <f t="shared" si="24"/>
        <v>-493.59999999999997</v>
      </c>
      <c r="K15" s="27">
        <f t="shared" si="24"/>
        <v>-664.80000000000007</v>
      </c>
      <c r="L15" s="28">
        <f t="shared" si="24"/>
        <v>-756.49999999999989</v>
      </c>
      <c r="M15" s="28">
        <f t="shared" si="24"/>
        <v>-801.4</v>
      </c>
      <c r="N15" s="29">
        <f t="shared" si="24"/>
        <v>-872.69999999999993</v>
      </c>
      <c r="O15" s="27">
        <f t="shared" si="24"/>
        <v>-926.2</v>
      </c>
      <c r="P15" s="28">
        <f t="shared" si="24"/>
        <v>-968.00000000000011</v>
      </c>
      <c r="Q15" s="28">
        <f t="shared" si="24"/>
        <v>-1037.0999999999999</v>
      </c>
      <c r="R15" s="29">
        <f t="shared" si="24"/>
        <v>-1080.2</v>
      </c>
      <c r="S15" s="27">
        <f t="shared" si="24"/>
        <v>-1120.3999999999999</v>
      </c>
      <c r="T15" s="28">
        <f t="shared" si="24"/>
        <v>-1137</v>
      </c>
      <c r="U15" s="28">
        <f t="shared" si="24"/>
        <v>-1179.3</v>
      </c>
      <c r="V15" s="29">
        <f t="shared" si="24"/>
        <v>-1108.8</v>
      </c>
      <c r="W15" s="27">
        <f t="shared" si="24"/>
        <v>-1191.6000000000001</v>
      </c>
      <c r="X15" s="28">
        <f t="shared" si="24"/>
        <v>-1286.5999999999999</v>
      </c>
      <c r="Y15" s="28">
        <f t="shared" si="24"/>
        <v>-1354.7</v>
      </c>
      <c r="Z15" s="29">
        <f t="shared" si="24"/>
        <v>-1424.0000000000002</v>
      </c>
      <c r="AA15" s="27">
        <f t="shared" si="24"/>
        <v>-1469.0000000000002</v>
      </c>
      <c r="AB15" s="28">
        <f t="shared" si="24"/>
        <v>-1569.3999999999999</v>
      </c>
      <c r="AC15" s="28">
        <f t="shared" si="24"/>
        <v>-1492.8000000000002</v>
      </c>
      <c r="AD15" s="29">
        <f t="shared" si="24"/>
        <v>-1554</v>
      </c>
      <c r="AE15" s="27">
        <f t="shared" ref="AE15:AJ15" si="25">SUM(AE16:AE19)</f>
        <v>-1638.2999999999995</v>
      </c>
      <c r="AF15" s="28">
        <f t="shared" si="25"/>
        <v>-1611.8</v>
      </c>
      <c r="AG15" s="28">
        <f t="shared" si="25"/>
        <v>-1661.1000000000001</v>
      </c>
      <c r="AH15" s="29">
        <f t="shared" si="25"/>
        <v>-1719.8</v>
      </c>
      <c r="AI15" s="28">
        <f t="shared" si="25"/>
        <v>-1791</v>
      </c>
      <c r="AJ15" s="28">
        <f t="shared" si="25"/>
        <v>-1661.6999999999998</v>
      </c>
      <c r="AK15" s="28">
        <f t="shared" ref="AK15:AQ15" si="26">SUM(AK16:AK19)</f>
        <v>-1504.9000000000003</v>
      </c>
      <c r="AL15" s="29">
        <f t="shared" si="26"/>
        <v>-1545.9</v>
      </c>
      <c r="AM15" s="28">
        <f t="shared" si="26"/>
        <v>-1555.8999999999999</v>
      </c>
      <c r="AN15" s="28">
        <f t="shared" si="26"/>
        <v>-1479.5999999999997</v>
      </c>
      <c r="AO15" s="28">
        <f t="shared" si="26"/>
        <v>-1453.7</v>
      </c>
      <c r="AP15" s="29">
        <f t="shared" si="26"/>
        <v>-1467</v>
      </c>
      <c r="AQ15" s="28">
        <f t="shared" si="26"/>
        <v>-1515.5</v>
      </c>
      <c r="AR15" s="28">
        <f>SUM(AR16:AR19)</f>
        <v>-1535.1</v>
      </c>
      <c r="AS15" s="28">
        <f>SUM(AS16:AS19)</f>
        <v>-1591.9999999999998</v>
      </c>
      <c r="AT15" s="28">
        <f>SUM(AT16:AT19)</f>
        <v>-1666.8999999999996</v>
      </c>
    </row>
    <row r="16" spans="1:46" s="178" customFormat="1" ht="11.25">
      <c r="A16" s="46" t="s">
        <v>454</v>
      </c>
      <c r="B16" s="46" t="s">
        <v>443</v>
      </c>
      <c r="C16" s="47">
        <f>SUM(C39,C63,C69,C87)</f>
        <v>-648.30000000000007</v>
      </c>
      <c r="D16" s="48">
        <f t="shared" ref="D16:AD16" si="27">SUM(D39,D63,D69,D87)</f>
        <v>-602.30000000000007</v>
      </c>
      <c r="E16" s="48">
        <f t="shared" si="27"/>
        <v>-532.19999999999993</v>
      </c>
      <c r="F16" s="48">
        <f t="shared" si="27"/>
        <v>-536.90000000000009</v>
      </c>
      <c r="G16" s="47">
        <f t="shared" si="27"/>
        <v>-548.59999999999991</v>
      </c>
      <c r="H16" s="48">
        <f t="shared" si="27"/>
        <v>-392.79999999999995</v>
      </c>
      <c r="I16" s="48">
        <f t="shared" si="27"/>
        <v>-403.3</v>
      </c>
      <c r="J16" s="49">
        <f t="shared" si="27"/>
        <v>-491.2</v>
      </c>
      <c r="K16" s="47">
        <f t="shared" si="27"/>
        <v>-661.30000000000007</v>
      </c>
      <c r="L16" s="48">
        <f t="shared" si="27"/>
        <v>-753.19999999999993</v>
      </c>
      <c r="M16" s="48">
        <f t="shared" si="27"/>
        <v>-797.6</v>
      </c>
      <c r="N16" s="49">
        <f t="shared" si="27"/>
        <v>-868.19999999999993</v>
      </c>
      <c r="O16" s="47">
        <f t="shared" si="27"/>
        <v>-920.7</v>
      </c>
      <c r="P16" s="48">
        <f t="shared" si="27"/>
        <v>-962.20000000000016</v>
      </c>
      <c r="Q16" s="48">
        <f t="shared" si="27"/>
        <v>-1031.7</v>
      </c>
      <c r="R16" s="49">
        <f t="shared" si="27"/>
        <v>-1077.9000000000001</v>
      </c>
      <c r="S16" s="47">
        <f t="shared" si="27"/>
        <v>-1118.0999999999999</v>
      </c>
      <c r="T16" s="48">
        <f t="shared" si="27"/>
        <v>-1134.5</v>
      </c>
      <c r="U16" s="48">
        <f t="shared" si="27"/>
        <v>-1175.8</v>
      </c>
      <c r="V16" s="49">
        <f t="shared" si="27"/>
        <v>-1105.5999999999999</v>
      </c>
      <c r="W16" s="47">
        <f t="shared" si="27"/>
        <v>-1121.1000000000001</v>
      </c>
      <c r="X16" s="48">
        <f t="shared" si="27"/>
        <v>-1186.4000000000001</v>
      </c>
      <c r="Y16" s="48">
        <f t="shared" si="27"/>
        <v>-1233.7</v>
      </c>
      <c r="Z16" s="49">
        <f t="shared" si="27"/>
        <v>-1287.4000000000001</v>
      </c>
      <c r="AA16" s="47">
        <f t="shared" si="27"/>
        <v>-1338.4</v>
      </c>
      <c r="AB16" s="48">
        <f t="shared" si="27"/>
        <v>-1437</v>
      </c>
      <c r="AC16" s="48">
        <f t="shared" si="27"/>
        <v>-1360</v>
      </c>
      <c r="AD16" s="49">
        <f t="shared" si="27"/>
        <v>-1481.6</v>
      </c>
      <c r="AE16" s="47">
        <f t="shared" ref="AE16:AJ16" si="28">SUM(AE39,AE63,AE69,AE87)</f>
        <v>-1560.4999999999998</v>
      </c>
      <c r="AF16" s="48">
        <f t="shared" si="28"/>
        <v>-1529.2</v>
      </c>
      <c r="AG16" s="48">
        <f t="shared" si="28"/>
        <v>-1583.8</v>
      </c>
      <c r="AH16" s="49">
        <f t="shared" si="28"/>
        <v>-1638.2</v>
      </c>
      <c r="AI16" s="48">
        <f t="shared" si="28"/>
        <v>-1679.4</v>
      </c>
      <c r="AJ16" s="48">
        <f t="shared" si="28"/>
        <v>-1542.1</v>
      </c>
      <c r="AK16" s="48">
        <f>SUM(AK39,AK63,AK69,AK87)</f>
        <v>-1376.6000000000001</v>
      </c>
      <c r="AL16" s="49">
        <f>SUM(AL39,AL63,AL69,AL87)</f>
        <v>-1390.7</v>
      </c>
      <c r="AM16" s="48">
        <f>SUM(AM39,AM63,AM69,AM87)</f>
        <v>-1365.7</v>
      </c>
      <c r="AN16" s="48">
        <f>SUM(AN39,AN63,AN69,AN87)</f>
        <v>-1409.8999999999999</v>
      </c>
      <c r="AO16" s="48">
        <v>-1384.6</v>
      </c>
      <c r="AP16" s="49">
        <v>-1376.7</v>
      </c>
      <c r="AQ16" s="48">
        <v>-1435.1</v>
      </c>
      <c r="AR16" s="48">
        <f>SUM(AR39,AR63,AR69,AR87)</f>
        <v>-1470.2</v>
      </c>
      <c r="AS16" s="48">
        <f>SUM(AS39,AS63,AS69,AS87)</f>
        <v>-1519.6</v>
      </c>
      <c r="AT16" s="48">
        <f>SUM(AT39,AT63,AT69,AT87)</f>
        <v>-1587.1</v>
      </c>
    </row>
    <row r="17" spans="1:46" s="178" customFormat="1" ht="11.25">
      <c r="A17" s="46" t="s">
        <v>455</v>
      </c>
      <c r="B17" s="46" t="s">
        <v>444</v>
      </c>
      <c r="C17" s="47">
        <f>SUM(C64,C70)</f>
        <v>0</v>
      </c>
      <c r="D17" s="48">
        <f t="shared" ref="D17:AD17" si="29">SUM(D64,D70)</f>
        <v>0</v>
      </c>
      <c r="E17" s="48">
        <f t="shared" si="29"/>
        <v>0</v>
      </c>
      <c r="F17" s="48">
        <f t="shared" si="29"/>
        <v>0</v>
      </c>
      <c r="G17" s="47">
        <f t="shared" si="29"/>
        <v>0</v>
      </c>
      <c r="H17" s="48">
        <f t="shared" si="29"/>
        <v>0</v>
      </c>
      <c r="I17" s="48">
        <f t="shared" si="29"/>
        <v>0</v>
      </c>
      <c r="J17" s="49">
        <f t="shared" si="29"/>
        <v>0</v>
      </c>
      <c r="K17" s="47">
        <f t="shared" si="29"/>
        <v>0</v>
      </c>
      <c r="L17" s="48">
        <f t="shared" si="29"/>
        <v>0</v>
      </c>
      <c r="M17" s="48">
        <f t="shared" si="29"/>
        <v>0</v>
      </c>
      <c r="N17" s="49">
        <f t="shared" si="29"/>
        <v>0</v>
      </c>
      <c r="O17" s="47">
        <f t="shared" si="29"/>
        <v>0</v>
      </c>
      <c r="P17" s="48">
        <f t="shared" si="29"/>
        <v>0</v>
      </c>
      <c r="Q17" s="48">
        <f t="shared" si="29"/>
        <v>0</v>
      </c>
      <c r="R17" s="49">
        <f t="shared" si="29"/>
        <v>0</v>
      </c>
      <c r="S17" s="47">
        <f t="shared" si="29"/>
        <v>0</v>
      </c>
      <c r="T17" s="48">
        <f t="shared" si="29"/>
        <v>0</v>
      </c>
      <c r="U17" s="48">
        <f t="shared" si="29"/>
        <v>0</v>
      </c>
      <c r="V17" s="49">
        <f t="shared" si="29"/>
        <v>0</v>
      </c>
      <c r="W17" s="47">
        <f t="shared" si="29"/>
        <v>-62.7</v>
      </c>
      <c r="X17" s="48">
        <f t="shared" si="29"/>
        <v>-61.800000000000004</v>
      </c>
      <c r="Y17" s="48">
        <f t="shared" si="29"/>
        <v>-68.2</v>
      </c>
      <c r="Z17" s="49">
        <f t="shared" si="29"/>
        <v>-69.399999999999991</v>
      </c>
      <c r="AA17" s="47">
        <f t="shared" si="29"/>
        <v>-63.400000000000006</v>
      </c>
      <c r="AB17" s="48">
        <f t="shared" si="29"/>
        <v>-60</v>
      </c>
      <c r="AC17" s="48">
        <f t="shared" si="29"/>
        <v>-54.4</v>
      </c>
      <c r="AD17" s="49">
        <f t="shared" si="29"/>
        <v>-59.7</v>
      </c>
      <c r="AE17" s="47">
        <f t="shared" ref="AE17:AJ17" si="30">SUM(AE64,AE70)</f>
        <v>-62.6</v>
      </c>
      <c r="AF17" s="48">
        <f t="shared" si="30"/>
        <v>-64.599999999999994</v>
      </c>
      <c r="AG17" s="48">
        <f t="shared" si="30"/>
        <v>-63.7</v>
      </c>
      <c r="AH17" s="49">
        <f t="shared" si="30"/>
        <v>-62.099999999999994</v>
      </c>
      <c r="AI17" s="48">
        <f t="shared" si="30"/>
        <v>-51.999999999999993</v>
      </c>
      <c r="AJ17" s="48">
        <f t="shared" si="30"/>
        <v>-43.6</v>
      </c>
      <c r="AK17" s="48">
        <f>SUM(AK64,AK70)</f>
        <v>-38.4</v>
      </c>
      <c r="AL17" s="49">
        <f>SUM(AL64,AL70)</f>
        <v>-39.4</v>
      </c>
      <c r="AM17" s="48">
        <f>SUM(AM64,AM70)</f>
        <v>-43.099999999999994</v>
      </c>
      <c r="AN17" s="48">
        <f>SUM(AN64,AN70)</f>
        <v>-48.8</v>
      </c>
      <c r="AO17" s="48">
        <v>-46.4</v>
      </c>
      <c r="AP17" s="49">
        <v>-50.4</v>
      </c>
      <c r="AQ17" s="48">
        <v>-40.9</v>
      </c>
      <c r="AR17" s="48">
        <f>SUM(AR64,AR70)</f>
        <v>-28.8</v>
      </c>
      <c r="AS17" s="48">
        <f>SUM(AS64,AS70)</f>
        <v>-29.5</v>
      </c>
      <c r="AT17" s="48">
        <f>SUM(AT64,AT70)</f>
        <v>-33.6</v>
      </c>
    </row>
    <row r="18" spans="1:46" s="178" customFormat="1" ht="11.25">
      <c r="A18" s="46" t="s">
        <v>456</v>
      </c>
      <c r="B18" s="46" t="s">
        <v>445</v>
      </c>
      <c r="C18" s="47">
        <f>SUM(C65,C71,C88)</f>
        <v>-2.5999999999999996</v>
      </c>
      <c r="D18" s="48">
        <f t="shared" ref="D18:AD18" si="31">SUM(D65,D71,D88)</f>
        <v>-2.5999999999999996</v>
      </c>
      <c r="E18" s="48">
        <f t="shared" si="31"/>
        <v>-2.4</v>
      </c>
      <c r="F18" s="48">
        <f t="shared" si="31"/>
        <v>-2.4000000000000004</v>
      </c>
      <c r="G18" s="47">
        <f t="shared" si="31"/>
        <v>-2.6</v>
      </c>
      <c r="H18" s="48">
        <f t="shared" si="31"/>
        <v>-1.9</v>
      </c>
      <c r="I18" s="48">
        <f t="shared" si="31"/>
        <v>-2.1</v>
      </c>
      <c r="J18" s="49">
        <f t="shared" si="31"/>
        <v>-2.4</v>
      </c>
      <c r="K18" s="47">
        <f t="shared" si="31"/>
        <v>-3.5</v>
      </c>
      <c r="L18" s="48">
        <f t="shared" si="31"/>
        <v>-2.8</v>
      </c>
      <c r="M18" s="48">
        <f t="shared" si="31"/>
        <v>-2.9</v>
      </c>
      <c r="N18" s="49">
        <f t="shared" si="31"/>
        <v>-2.5</v>
      </c>
      <c r="O18" s="47">
        <f t="shared" si="31"/>
        <v>-2.2000000000000002</v>
      </c>
      <c r="P18" s="48">
        <f t="shared" si="31"/>
        <v>-2.5</v>
      </c>
      <c r="Q18" s="48">
        <f t="shared" si="31"/>
        <v>-2.2999999999999998</v>
      </c>
      <c r="R18" s="49">
        <f t="shared" si="31"/>
        <v>-2.1</v>
      </c>
      <c r="S18" s="47">
        <f t="shared" si="31"/>
        <v>-2.1</v>
      </c>
      <c r="T18" s="48">
        <f t="shared" si="31"/>
        <v>-2.2999999999999998</v>
      </c>
      <c r="U18" s="48">
        <f t="shared" si="31"/>
        <v>-3.2</v>
      </c>
      <c r="V18" s="49">
        <f t="shared" si="31"/>
        <v>-3</v>
      </c>
      <c r="W18" s="47">
        <f t="shared" si="31"/>
        <v>-7.6</v>
      </c>
      <c r="X18" s="48">
        <f t="shared" si="31"/>
        <v>-6.1000000000000005</v>
      </c>
      <c r="Y18" s="48">
        <f t="shared" si="31"/>
        <v>-6.2999999999999989</v>
      </c>
      <c r="Z18" s="49">
        <f t="shared" si="31"/>
        <v>-9.4</v>
      </c>
      <c r="AA18" s="47">
        <f t="shared" si="31"/>
        <v>-8.1999999999999993</v>
      </c>
      <c r="AB18" s="48">
        <f t="shared" si="31"/>
        <v>-8.6000000000000014</v>
      </c>
      <c r="AC18" s="48">
        <f t="shared" si="31"/>
        <v>-9.4</v>
      </c>
      <c r="AD18" s="49">
        <f t="shared" si="31"/>
        <v>-11.899999999999999</v>
      </c>
      <c r="AE18" s="47">
        <f t="shared" ref="AE18:AJ18" si="32">SUM(AE65,AE71,AE88)</f>
        <v>-14.099999999999998</v>
      </c>
      <c r="AF18" s="48">
        <f t="shared" si="32"/>
        <v>-17.000000000000004</v>
      </c>
      <c r="AG18" s="48">
        <f t="shared" si="32"/>
        <v>-12.399999999999999</v>
      </c>
      <c r="AH18" s="49">
        <f t="shared" si="32"/>
        <v>-13.9</v>
      </c>
      <c r="AI18" s="48">
        <f t="shared" si="32"/>
        <v>-15</v>
      </c>
      <c r="AJ18" s="48">
        <f t="shared" si="32"/>
        <v>-14</v>
      </c>
      <c r="AK18" s="48">
        <f>SUM(AK65,AK71,AK88)</f>
        <v>-12</v>
      </c>
      <c r="AL18" s="49">
        <f>SUM(AL65,AL71,AL88)</f>
        <v>-12.3</v>
      </c>
      <c r="AM18" s="48">
        <f>SUM(AM65,AM71,AM88)</f>
        <v>-17.100000000000001</v>
      </c>
      <c r="AN18" s="48">
        <f>SUM(AN65,AN71,AN88)</f>
        <v>-19.8</v>
      </c>
      <c r="AO18" s="48">
        <v>-21.3</v>
      </c>
      <c r="AP18" s="49">
        <v>-22.8</v>
      </c>
      <c r="AQ18" s="48">
        <v>-23.1</v>
      </c>
      <c r="AR18" s="48">
        <f>SUM(AR65,AR71,AR88)</f>
        <v>-20</v>
      </c>
      <c r="AS18" s="48">
        <f>SUM(AS65,AS71,AS88)</f>
        <v>-26.800000000000004</v>
      </c>
      <c r="AT18" s="48">
        <f>SUM(AT65,AT71,AT88)</f>
        <v>-30.1</v>
      </c>
    </row>
    <row r="19" spans="1:46" s="178" customFormat="1" ht="22.5">
      <c r="A19" s="46" t="s">
        <v>520</v>
      </c>
      <c r="B19" s="46" t="s">
        <v>515</v>
      </c>
      <c r="C19" s="47">
        <f t="shared" ref="C19:AH19" si="33">SUM(C66,C89)</f>
        <v>-15</v>
      </c>
      <c r="D19" s="48">
        <f t="shared" si="33"/>
        <v>-14.5</v>
      </c>
      <c r="E19" s="48">
        <f t="shared" si="33"/>
        <v>-13.9</v>
      </c>
      <c r="F19" s="48">
        <f t="shared" si="33"/>
        <v>-13.5</v>
      </c>
      <c r="G19" s="47">
        <f t="shared" si="33"/>
        <v>-13.5</v>
      </c>
      <c r="H19" s="48">
        <f t="shared" si="33"/>
        <v>-0.1</v>
      </c>
      <c r="I19" s="48">
        <f t="shared" si="33"/>
        <v>0</v>
      </c>
      <c r="J19" s="49">
        <f t="shared" si="33"/>
        <v>0</v>
      </c>
      <c r="K19" s="47">
        <f t="shared" si="33"/>
        <v>0</v>
      </c>
      <c r="L19" s="48">
        <f t="shared" si="33"/>
        <v>-0.5</v>
      </c>
      <c r="M19" s="48">
        <f t="shared" si="33"/>
        <v>-0.9</v>
      </c>
      <c r="N19" s="49">
        <f t="shared" si="33"/>
        <v>-2</v>
      </c>
      <c r="O19" s="47">
        <f t="shared" si="33"/>
        <v>-3.3</v>
      </c>
      <c r="P19" s="48">
        <f t="shared" si="33"/>
        <v>-3.3</v>
      </c>
      <c r="Q19" s="48">
        <f t="shared" si="33"/>
        <v>-3.1</v>
      </c>
      <c r="R19" s="49">
        <f t="shared" si="33"/>
        <v>-0.2</v>
      </c>
      <c r="S19" s="47">
        <f t="shared" si="33"/>
        <v>-0.2</v>
      </c>
      <c r="T19" s="48">
        <f t="shared" si="33"/>
        <v>-0.2</v>
      </c>
      <c r="U19" s="48">
        <f t="shared" si="33"/>
        <v>-0.3</v>
      </c>
      <c r="V19" s="49">
        <f t="shared" si="33"/>
        <v>-0.2</v>
      </c>
      <c r="W19" s="47">
        <f t="shared" si="33"/>
        <v>-0.2</v>
      </c>
      <c r="X19" s="48">
        <f t="shared" si="33"/>
        <v>-32.299999999999997</v>
      </c>
      <c r="Y19" s="48">
        <f t="shared" si="33"/>
        <v>-46.5</v>
      </c>
      <c r="Z19" s="49">
        <f t="shared" si="33"/>
        <v>-57.8</v>
      </c>
      <c r="AA19" s="47">
        <f t="shared" si="33"/>
        <v>-59</v>
      </c>
      <c r="AB19" s="48">
        <f t="shared" si="33"/>
        <v>-63.800000000000004</v>
      </c>
      <c r="AC19" s="48">
        <f t="shared" si="33"/>
        <v>-69</v>
      </c>
      <c r="AD19" s="49">
        <f t="shared" si="33"/>
        <v>-0.8</v>
      </c>
      <c r="AE19" s="47">
        <f t="shared" si="33"/>
        <v>-1.1000000000000001</v>
      </c>
      <c r="AF19" s="48">
        <f t="shared" si="33"/>
        <v>-1</v>
      </c>
      <c r="AG19" s="48">
        <f t="shared" si="33"/>
        <v>-1.2</v>
      </c>
      <c r="AH19" s="49">
        <f t="shared" si="33"/>
        <v>-5.6</v>
      </c>
      <c r="AI19" s="48">
        <f>SUM(AI66,AI89)</f>
        <v>-44.600000000000009</v>
      </c>
      <c r="AJ19" s="48">
        <f>SUM(AJ66,AJ89)</f>
        <v>-62</v>
      </c>
      <c r="AK19" s="48">
        <f>SUM(AK66,AK89)</f>
        <v>-77.900000000000006</v>
      </c>
      <c r="AL19" s="49">
        <f>SUM(AL40,AL66,AL89)</f>
        <v>-103.49999999999999</v>
      </c>
      <c r="AM19" s="48">
        <f>SUM(AM40,AM66,AM89)</f>
        <v>-129.99999999999997</v>
      </c>
      <c r="AN19" s="48">
        <f>SUM(AN40,AN66,AN89)</f>
        <v>-1.0999999999999999</v>
      </c>
      <c r="AO19" s="48">
        <v>-1.4</v>
      </c>
      <c r="AP19" s="49">
        <v>-17.100000000000001</v>
      </c>
      <c r="AQ19" s="48">
        <v>-16.399999999999999</v>
      </c>
      <c r="AR19" s="48">
        <f>SUM(AR40,AR66,AR89)</f>
        <v>-16.099999999999998</v>
      </c>
      <c r="AS19" s="48">
        <f>SUM(AS40,AS66,AS89)</f>
        <v>-16.099999999999998</v>
      </c>
      <c r="AT19" s="48">
        <f>SUM(AT40,AT66,AT89)</f>
        <v>-16.099999999999998</v>
      </c>
    </row>
    <row r="20" spans="1:46" s="175" customFormat="1" ht="11.25">
      <c r="A20" s="56" t="s">
        <v>248</v>
      </c>
      <c r="B20" s="56" t="s">
        <v>507</v>
      </c>
      <c r="C20" s="27">
        <f>SUM(C21:C22)</f>
        <v>-8.6</v>
      </c>
      <c r="D20" s="28">
        <f t="shared" ref="D20:AH20" si="34">SUM(D21:D22)</f>
        <v>-8.6</v>
      </c>
      <c r="E20" s="28">
        <f t="shared" si="34"/>
        <v>-8.6</v>
      </c>
      <c r="F20" s="28">
        <f t="shared" si="34"/>
        <v>-8.6</v>
      </c>
      <c r="G20" s="27">
        <f t="shared" si="34"/>
        <v>-8.6</v>
      </c>
      <c r="H20" s="28">
        <f t="shared" si="34"/>
        <v>-8.6</v>
      </c>
      <c r="I20" s="28">
        <f t="shared" si="34"/>
        <v>-8.6</v>
      </c>
      <c r="J20" s="29">
        <f t="shared" si="34"/>
        <v>-8.6</v>
      </c>
      <c r="K20" s="27">
        <f t="shared" si="34"/>
        <v>-8.6</v>
      </c>
      <c r="L20" s="28">
        <f t="shared" si="34"/>
        <v>-8.6</v>
      </c>
      <c r="M20" s="28">
        <f t="shared" si="34"/>
        <v>-8.6</v>
      </c>
      <c r="N20" s="29">
        <f t="shared" si="34"/>
        <v>-8.6</v>
      </c>
      <c r="O20" s="27">
        <f t="shared" si="34"/>
        <v>-8.6</v>
      </c>
      <c r="P20" s="28">
        <f t="shared" si="34"/>
        <v>-8.6</v>
      </c>
      <c r="Q20" s="28">
        <f t="shared" si="34"/>
        <v>-5.2</v>
      </c>
      <c r="R20" s="29">
        <f t="shared" si="34"/>
        <v>-5.2</v>
      </c>
      <c r="S20" s="27">
        <f t="shared" si="34"/>
        <v>-5.2</v>
      </c>
      <c r="T20" s="28">
        <f t="shared" si="34"/>
        <v>-5.2</v>
      </c>
      <c r="U20" s="28">
        <f t="shared" si="34"/>
        <v>-5.2</v>
      </c>
      <c r="V20" s="29">
        <f t="shared" si="34"/>
        <v>-5.2</v>
      </c>
      <c r="W20" s="27">
        <f t="shared" si="34"/>
        <v>-5.0999999999999996</v>
      </c>
      <c r="X20" s="28">
        <f t="shared" si="34"/>
        <v>-5.2</v>
      </c>
      <c r="Y20" s="28">
        <f t="shared" si="34"/>
        <v>-5.2</v>
      </c>
      <c r="Z20" s="29">
        <f t="shared" si="34"/>
        <v>-5.2</v>
      </c>
      <c r="AA20" s="27">
        <f t="shared" si="34"/>
        <v>-5.2</v>
      </c>
      <c r="AB20" s="28">
        <f t="shared" si="34"/>
        <v>-5.3</v>
      </c>
      <c r="AC20" s="28">
        <f t="shared" si="34"/>
        <v>-5.3</v>
      </c>
      <c r="AD20" s="29">
        <f t="shared" si="34"/>
        <v>-5.6000000000000005</v>
      </c>
      <c r="AE20" s="27">
        <f t="shared" si="34"/>
        <v>-5.6000000000000005</v>
      </c>
      <c r="AF20" s="28">
        <f t="shared" si="34"/>
        <v>-5.6000000000000005</v>
      </c>
      <c r="AG20" s="28">
        <f t="shared" si="34"/>
        <v>-5.6000000000000005</v>
      </c>
      <c r="AH20" s="29">
        <f t="shared" si="34"/>
        <v>-5.7</v>
      </c>
      <c r="AI20" s="28">
        <f t="shared" ref="AI20:AQ20" si="35">SUM(AI21:AI22)</f>
        <v>-0.9</v>
      </c>
      <c r="AJ20" s="28">
        <f t="shared" si="35"/>
        <v>-0.9</v>
      </c>
      <c r="AK20" s="28">
        <f t="shared" si="35"/>
        <v>-1</v>
      </c>
      <c r="AL20" s="29">
        <f t="shared" si="35"/>
        <v>-1</v>
      </c>
      <c r="AM20" s="28">
        <f t="shared" si="35"/>
        <v>-1.2</v>
      </c>
      <c r="AN20" s="28">
        <f>SUM(AN21:AN22)</f>
        <v>-1.2</v>
      </c>
      <c r="AO20" s="28">
        <f>SUM(AO21:AO22)</f>
        <v>-1.2</v>
      </c>
      <c r="AP20" s="29">
        <f t="shared" si="35"/>
        <v>-0.7</v>
      </c>
      <c r="AQ20" s="28">
        <f t="shared" si="35"/>
        <v>-0.7</v>
      </c>
      <c r="AR20" s="28">
        <f>SUM(AR21:AR22)</f>
        <v>-0.7</v>
      </c>
      <c r="AS20" s="28">
        <f>SUM(AS21:AS22)</f>
        <v>-0.7</v>
      </c>
      <c r="AT20" s="28">
        <f>SUM(AT21:AT22)</f>
        <v>-0.7</v>
      </c>
    </row>
    <row r="21" spans="1:46" s="175" customFormat="1" ht="11.25">
      <c r="A21" s="46" t="s">
        <v>508</v>
      </c>
      <c r="B21" s="46" t="s">
        <v>505</v>
      </c>
      <c r="C21" s="27">
        <f t="shared" ref="C21:AH21" si="36">C90</f>
        <v>0</v>
      </c>
      <c r="D21" s="28">
        <f t="shared" si="36"/>
        <v>0</v>
      </c>
      <c r="E21" s="28">
        <f t="shared" si="36"/>
        <v>0</v>
      </c>
      <c r="F21" s="28">
        <f t="shared" si="36"/>
        <v>0</v>
      </c>
      <c r="G21" s="27">
        <f t="shared" si="36"/>
        <v>0</v>
      </c>
      <c r="H21" s="28">
        <f t="shared" si="36"/>
        <v>0</v>
      </c>
      <c r="I21" s="28">
        <f t="shared" si="36"/>
        <v>0</v>
      </c>
      <c r="J21" s="29">
        <f t="shared" si="36"/>
        <v>0</v>
      </c>
      <c r="K21" s="27">
        <f t="shared" si="36"/>
        <v>0</v>
      </c>
      <c r="L21" s="28">
        <f t="shared" si="36"/>
        <v>0</v>
      </c>
      <c r="M21" s="28">
        <f t="shared" si="36"/>
        <v>0</v>
      </c>
      <c r="N21" s="29">
        <f t="shared" si="36"/>
        <v>0</v>
      </c>
      <c r="O21" s="27">
        <f t="shared" si="36"/>
        <v>0</v>
      </c>
      <c r="P21" s="28">
        <f t="shared" si="36"/>
        <v>0</v>
      </c>
      <c r="Q21" s="28">
        <f t="shared" si="36"/>
        <v>0</v>
      </c>
      <c r="R21" s="29">
        <f t="shared" si="36"/>
        <v>0</v>
      </c>
      <c r="S21" s="27">
        <f t="shared" si="36"/>
        <v>0</v>
      </c>
      <c r="T21" s="28">
        <f t="shared" si="36"/>
        <v>0</v>
      </c>
      <c r="U21" s="28">
        <f t="shared" si="36"/>
        <v>0</v>
      </c>
      <c r="V21" s="29">
        <f t="shared" si="36"/>
        <v>0</v>
      </c>
      <c r="W21" s="27">
        <f t="shared" si="36"/>
        <v>0</v>
      </c>
      <c r="X21" s="28">
        <f t="shared" si="36"/>
        <v>0</v>
      </c>
      <c r="Y21" s="28">
        <f t="shared" si="36"/>
        <v>0</v>
      </c>
      <c r="Z21" s="29">
        <f t="shared" si="36"/>
        <v>0</v>
      </c>
      <c r="AA21" s="27">
        <f t="shared" si="36"/>
        <v>0</v>
      </c>
      <c r="AB21" s="28">
        <f t="shared" si="36"/>
        <v>-0.1</v>
      </c>
      <c r="AC21" s="28">
        <f t="shared" si="36"/>
        <v>-0.1</v>
      </c>
      <c r="AD21" s="29">
        <f t="shared" si="36"/>
        <v>-0.4</v>
      </c>
      <c r="AE21" s="27">
        <f t="shared" si="36"/>
        <v>-0.4</v>
      </c>
      <c r="AF21" s="28">
        <f t="shared" si="36"/>
        <v>-0.4</v>
      </c>
      <c r="AG21" s="28">
        <f t="shared" si="36"/>
        <v>-0.4</v>
      </c>
      <c r="AH21" s="29">
        <f t="shared" si="36"/>
        <v>-0.5</v>
      </c>
      <c r="AI21" s="28">
        <f t="shared" ref="AI21:AQ21" si="37">AI90</f>
        <v>-0.4</v>
      </c>
      <c r="AJ21" s="28">
        <f t="shared" si="37"/>
        <v>-0.4</v>
      </c>
      <c r="AK21" s="28">
        <f t="shared" si="37"/>
        <v>-0.5</v>
      </c>
      <c r="AL21" s="29">
        <f t="shared" si="37"/>
        <v>-0.5</v>
      </c>
      <c r="AM21" s="28">
        <f t="shared" si="37"/>
        <v>-0.7</v>
      </c>
      <c r="AN21" s="28">
        <f t="shared" si="37"/>
        <v>-0.7</v>
      </c>
      <c r="AO21" s="28">
        <f t="shared" si="37"/>
        <v>-0.7</v>
      </c>
      <c r="AP21" s="29">
        <f t="shared" si="37"/>
        <v>-0.7</v>
      </c>
      <c r="AQ21" s="28">
        <f t="shared" si="37"/>
        <v>-0.7</v>
      </c>
      <c r="AR21" s="28">
        <f>AR90</f>
        <v>-0.7</v>
      </c>
      <c r="AS21" s="28">
        <f>AS90</f>
        <v>-0.7</v>
      </c>
      <c r="AT21" s="28">
        <f>AT90</f>
        <v>-0.7</v>
      </c>
    </row>
    <row r="22" spans="1:46" s="175" customFormat="1" ht="11.25">
      <c r="A22" s="46" t="s">
        <v>509</v>
      </c>
      <c r="B22" s="46" t="s">
        <v>506</v>
      </c>
      <c r="C22" s="27">
        <f t="shared" ref="C22:AG22" si="38">SUM(C67,C72)</f>
        <v>-8.6</v>
      </c>
      <c r="D22" s="28">
        <f t="shared" si="38"/>
        <v>-8.6</v>
      </c>
      <c r="E22" s="28">
        <f t="shared" si="38"/>
        <v>-8.6</v>
      </c>
      <c r="F22" s="28">
        <f t="shared" si="38"/>
        <v>-8.6</v>
      </c>
      <c r="G22" s="27">
        <f t="shared" si="38"/>
        <v>-8.6</v>
      </c>
      <c r="H22" s="28">
        <f t="shared" si="38"/>
        <v>-8.6</v>
      </c>
      <c r="I22" s="28">
        <f t="shared" si="38"/>
        <v>-8.6</v>
      </c>
      <c r="J22" s="29">
        <f t="shared" si="38"/>
        <v>-8.6</v>
      </c>
      <c r="K22" s="27">
        <f t="shared" si="38"/>
        <v>-8.6</v>
      </c>
      <c r="L22" s="28">
        <f t="shared" si="38"/>
        <v>-8.6</v>
      </c>
      <c r="M22" s="28">
        <f t="shared" si="38"/>
        <v>-8.6</v>
      </c>
      <c r="N22" s="29">
        <f t="shared" si="38"/>
        <v>-8.6</v>
      </c>
      <c r="O22" s="27">
        <f t="shared" si="38"/>
        <v>-8.6</v>
      </c>
      <c r="P22" s="28">
        <f t="shared" si="38"/>
        <v>-8.6</v>
      </c>
      <c r="Q22" s="28">
        <f t="shared" si="38"/>
        <v>-5.2</v>
      </c>
      <c r="R22" s="29">
        <f t="shared" si="38"/>
        <v>-5.2</v>
      </c>
      <c r="S22" s="27">
        <f t="shared" si="38"/>
        <v>-5.2</v>
      </c>
      <c r="T22" s="28">
        <f t="shared" si="38"/>
        <v>-5.2</v>
      </c>
      <c r="U22" s="28">
        <f t="shared" si="38"/>
        <v>-5.2</v>
      </c>
      <c r="V22" s="29">
        <f t="shared" si="38"/>
        <v>-5.2</v>
      </c>
      <c r="W22" s="27">
        <f t="shared" si="38"/>
        <v>-5.0999999999999996</v>
      </c>
      <c r="X22" s="28">
        <f t="shared" si="38"/>
        <v>-5.2</v>
      </c>
      <c r="Y22" s="28">
        <f t="shared" si="38"/>
        <v>-5.2</v>
      </c>
      <c r="Z22" s="29">
        <f t="shared" si="38"/>
        <v>-5.2</v>
      </c>
      <c r="AA22" s="27">
        <f t="shared" si="38"/>
        <v>-5.2</v>
      </c>
      <c r="AB22" s="28">
        <f t="shared" si="38"/>
        <v>-5.2</v>
      </c>
      <c r="AC22" s="28">
        <f t="shared" si="38"/>
        <v>-5.2</v>
      </c>
      <c r="AD22" s="29">
        <f t="shared" si="38"/>
        <v>-5.2</v>
      </c>
      <c r="AE22" s="27">
        <f t="shared" si="38"/>
        <v>-5.2</v>
      </c>
      <c r="AF22" s="28">
        <f t="shared" si="38"/>
        <v>-5.2</v>
      </c>
      <c r="AG22" s="28">
        <f t="shared" si="38"/>
        <v>-5.2</v>
      </c>
      <c r="AH22" s="29">
        <f t="shared" ref="AH22:AM22" si="39">SUM(AH67,AH72)</f>
        <v>-5.2</v>
      </c>
      <c r="AI22" s="28">
        <f t="shared" si="39"/>
        <v>-0.5</v>
      </c>
      <c r="AJ22" s="28">
        <f t="shared" si="39"/>
        <v>-0.5</v>
      </c>
      <c r="AK22" s="28">
        <f t="shared" si="39"/>
        <v>-0.5</v>
      </c>
      <c r="AL22" s="29">
        <f t="shared" si="39"/>
        <v>-0.5</v>
      </c>
      <c r="AM22" s="28">
        <f t="shared" si="39"/>
        <v>-0.5</v>
      </c>
      <c r="AN22" s="28">
        <f>SUM(AN67,AN72)</f>
        <v>-0.5</v>
      </c>
      <c r="AO22" s="28">
        <f>SUM(AO67,AO72)</f>
        <v>-0.5</v>
      </c>
      <c r="AP22" s="29">
        <f>SUM(AP67,AP72)</f>
        <v>0</v>
      </c>
      <c r="AQ22" s="28">
        <v>0</v>
      </c>
      <c r="AR22" s="28">
        <f>SUM(AR67,AR72)</f>
        <v>0</v>
      </c>
      <c r="AS22" s="28">
        <f>SUM(AS67,AS72)</f>
        <v>0</v>
      </c>
      <c r="AT22" s="28">
        <f>SUM(AT67,AT72)</f>
        <v>0</v>
      </c>
    </row>
    <row r="23" spans="1:46" s="176" customFormat="1" ht="21.6" customHeight="1">
      <c r="A23" s="51" t="s">
        <v>249</v>
      </c>
      <c r="B23" s="51" t="s">
        <v>91</v>
      </c>
      <c r="C23" s="37">
        <f>C13+C14</f>
        <v>13782.6</v>
      </c>
      <c r="D23" s="38">
        <f t="shared" ref="D23:AD23" si="40">D13+D14</f>
        <v>14567.2</v>
      </c>
      <c r="E23" s="38">
        <f t="shared" si="40"/>
        <v>15449.399999999998</v>
      </c>
      <c r="F23" s="38">
        <f t="shared" si="40"/>
        <v>16379.099999999997</v>
      </c>
      <c r="G23" s="37">
        <f t="shared" si="40"/>
        <v>18039.899999999998</v>
      </c>
      <c r="H23" s="38">
        <f t="shared" si="40"/>
        <v>19569.400000000001</v>
      </c>
      <c r="I23" s="38">
        <f t="shared" si="40"/>
        <v>21915.8</v>
      </c>
      <c r="J23" s="39">
        <f t="shared" si="40"/>
        <v>25584.7</v>
      </c>
      <c r="K23" s="37">
        <f t="shared" si="40"/>
        <v>28871.3</v>
      </c>
      <c r="L23" s="38">
        <f t="shared" si="40"/>
        <v>28613.9</v>
      </c>
      <c r="M23" s="38">
        <f t="shared" si="40"/>
        <v>28835.200000000001</v>
      </c>
      <c r="N23" s="39">
        <f t="shared" si="40"/>
        <v>29966.1</v>
      </c>
      <c r="O23" s="37">
        <f t="shared" si="40"/>
        <v>29973.300000000003</v>
      </c>
      <c r="P23" s="38">
        <f t="shared" si="40"/>
        <v>31653.100000000002</v>
      </c>
      <c r="Q23" s="38">
        <f t="shared" si="40"/>
        <v>33229.799999999996</v>
      </c>
      <c r="R23" s="39">
        <f t="shared" si="40"/>
        <v>34509</v>
      </c>
      <c r="S23" s="37">
        <f t="shared" si="40"/>
        <v>35292.9</v>
      </c>
      <c r="T23" s="38">
        <f t="shared" si="40"/>
        <v>37014.1</v>
      </c>
      <c r="U23" s="38">
        <f t="shared" si="40"/>
        <v>39699.599999999999</v>
      </c>
      <c r="V23" s="39">
        <f t="shared" si="40"/>
        <v>42329.7</v>
      </c>
      <c r="W23" s="37">
        <f t="shared" si="40"/>
        <v>47717.3</v>
      </c>
      <c r="X23" s="38">
        <f t="shared" si="40"/>
        <v>48490.599999999991</v>
      </c>
      <c r="Y23" s="38">
        <f t="shared" si="40"/>
        <v>49275.1</v>
      </c>
      <c r="Z23" s="39">
        <f t="shared" si="40"/>
        <v>48985.299999999996</v>
      </c>
      <c r="AA23" s="37">
        <f t="shared" si="40"/>
        <v>49119.3</v>
      </c>
      <c r="AB23" s="38">
        <f t="shared" si="40"/>
        <v>50472.500000000007</v>
      </c>
      <c r="AC23" s="38">
        <f t="shared" si="40"/>
        <v>52105.2</v>
      </c>
      <c r="AD23" s="39">
        <f t="shared" si="40"/>
        <v>52237.899999999994</v>
      </c>
      <c r="AE23" s="37">
        <f t="shared" ref="AE23:AJ23" si="41">AE13+AE14</f>
        <v>54597.100000000013</v>
      </c>
      <c r="AF23" s="38">
        <f t="shared" si="41"/>
        <v>57319</v>
      </c>
      <c r="AG23" s="38">
        <f t="shared" si="41"/>
        <v>60219.000000000015</v>
      </c>
      <c r="AH23" s="39">
        <f t="shared" si="41"/>
        <v>61054.799999999996</v>
      </c>
      <c r="AI23" s="38">
        <f t="shared" si="41"/>
        <v>63399</v>
      </c>
      <c r="AJ23" s="38">
        <f t="shared" si="41"/>
        <v>68127.199999999997</v>
      </c>
      <c r="AK23" s="38">
        <f t="shared" ref="AK23:AT23" si="42">AK13+AK14</f>
        <v>71425.2</v>
      </c>
      <c r="AL23" s="39">
        <f t="shared" si="42"/>
        <v>72519.600000000006</v>
      </c>
      <c r="AM23" s="38">
        <f t="shared" si="42"/>
        <v>75329.999999999985</v>
      </c>
      <c r="AN23" s="38">
        <f t="shared" si="42"/>
        <v>78308.600000000006</v>
      </c>
      <c r="AO23" s="38">
        <f t="shared" si="42"/>
        <v>80377.400000000009</v>
      </c>
      <c r="AP23" s="39">
        <f t="shared" si="42"/>
        <v>81979.5</v>
      </c>
      <c r="AQ23" s="38">
        <f>AQ13+AQ14</f>
        <v>84379.599999999991</v>
      </c>
      <c r="AR23" s="38">
        <f t="shared" si="42"/>
        <v>86902.300000000017</v>
      </c>
      <c r="AS23" s="38">
        <f t="shared" si="42"/>
        <v>90087.300000000017</v>
      </c>
      <c r="AT23" s="38">
        <f t="shared" si="42"/>
        <v>91088.299999999988</v>
      </c>
    </row>
    <row r="24" spans="1:46" s="17" customFormat="1" ht="22.5">
      <c r="A24" s="35" t="s">
        <v>324</v>
      </c>
      <c r="B24" s="35" t="s">
        <v>92</v>
      </c>
      <c r="C24" s="27">
        <f>SUM(C41)</f>
        <v>2250.1000000000004</v>
      </c>
      <c r="D24" s="28">
        <f t="shared" ref="D24:X24" si="43">SUM(D41)</f>
        <v>2122.5</v>
      </c>
      <c r="E24" s="28">
        <f t="shared" si="43"/>
        <v>2125.6999999999998</v>
      </c>
      <c r="F24" s="28">
        <f t="shared" si="43"/>
        <v>2336.7999999999997</v>
      </c>
      <c r="G24" s="27">
        <f t="shared" si="43"/>
        <v>2551.2000000000003</v>
      </c>
      <c r="H24" s="28">
        <f t="shared" si="43"/>
        <v>2702.2</v>
      </c>
      <c r="I24" s="28">
        <f t="shared" si="43"/>
        <v>3069.0000000000005</v>
      </c>
      <c r="J24" s="29">
        <f t="shared" si="43"/>
        <v>3021.2999999999997</v>
      </c>
      <c r="K24" s="27">
        <f t="shared" si="43"/>
        <v>2968.2000000000003</v>
      </c>
      <c r="L24" s="28">
        <f t="shared" si="43"/>
        <v>2833.2999999999997</v>
      </c>
      <c r="M24" s="28">
        <f t="shared" si="43"/>
        <v>2809.5000000000005</v>
      </c>
      <c r="N24" s="29">
        <f t="shared" si="43"/>
        <v>2695.2</v>
      </c>
      <c r="O24" s="27">
        <f t="shared" si="43"/>
        <v>2513</v>
      </c>
      <c r="P24" s="28">
        <f t="shared" si="43"/>
        <v>2547.9</v>
      </c>
      <c r="Q24" s="28">
        <f t="shared" si="43"/>
        <v>2580.1</v>
      </c>
      <c r="R24" s="29">
        <f t="shared" si="43"/>
        <v>2666.2999999999997</v>
      </c>
      <c r="S24" s="27">
        <f t="shared" si="43"/>
        <v>2664.8999999999996</v>
      </c>
      <c r="T24" s="28">
        <f t="shared" si="43"/>
        <v>2868.7000000000003</v>
      </c>
      <c r="U24" s="28">
        <f t="shared" si="43"/>
        <v>2873.2</v>
      </c>
      <c r="V24" s="29">
        <f t="shared" si="43"/>
        <v>2908.8999999999996</v>
      </c>
      <c r="W24" s="27">
        <f t="shared" si="43"/>
        <v>1248.9000000000001</v>
      </c>
      <c r="X24" s="28">
        <f t="shared" si="43"/>
        <v>1377.1000000000001</v>
      </c>
      <c r="Y24" s="28">
        <f t="shared" ref="Y24:AD24" si="44">SUM(Y41)</f>
        <v>1525.4999999999995</v>
      </c>
      <c r="Z24" s="29">
        <f t="shared" si="44"/>
        <v>1645.3999999999999</v>
      </c>
      <c r="AA24" s="27">
        <f t="shared" si="44"/>
        <v>1405.8999999999996</v>
      </c>
      <c r="AB24" s="28">
        <f t="shared" si="44"/>
        <v>1421.8000000000002</v>
      </c>
      <c r="AC24" s="28">
        <f t="shared" si="44"/>
        <v>1531</v>
      </c>
      <c r="AD24" s="29">
        <f t="shared" si="44"/>
        <v>1568.1</v>
      </c>
      <c r="AE24" s="27">
        <f t="shared" ref="AE24:AJ24" si="45">SUM(AE41)</f>
        <v>1544.0999999999997</v>
      </c>
      <c r="AF24" s="28">
        <f t="shared" si="45"/>
        <v>1733.2</v>
      </c>
      <c r="AG24" s="28">
        <f t="shared" si="45"/>
        <v>1780.4</v>
      </c>
      <c r="AH24" s="29">
        <f t="shared" si="45"/>
        <v>1869.0999999999997</v>
      </c>
      <c r="AI24" s="28">
        <f t="shared" si="45"/>
        <v>1750.6999999999998</v>
      </c>
      <c r="AJ24" s="28">
        <f t="shared" si="45"/>
        <v>2197.4</v>
      </c>
      <c r="AK24" s="28">
        <f>SUM(AK41)</f>
        <v>2017.2</v>
      </c>
      <c r="AL24" s="29">
        <f>SUM(AL41)</f>
        <v>2510</v>
      </c>
      <c r="AM24" s="28">
        <f>SUM(AM41)</f>
        <v>2306.6</v>
      </c>
      <c r="AN24" s="28">
        <f>SUM(AN41)</f>
        <v>2335.8000000000002</v>
      </c>
      <c r="AO24" s="28">
        <v>2065.4</v>
      </c>
      <c r="AP24" s="29">
        <v>2347.3000000000002</v>
      </c>
      <c r="AQ24" s="28">
        <v>2373.6</v>
      </c>
      <c r="AR24" s="28">
        <f>SUM(AR41)</f>
        <v>2525.3999999999996</v>
      </c>
      <c r="AS24" s="28">
        <f>SUM(AS41)</f>
        <v>2448.1999999999998</v>
      </c>
      <c r="AT24" s="28">
        <f>SUM(AT41)</f>
        <v>2935</v>
      </c>
    </row>
    <row r="25" spans="1:46" s="17" customFormat="1" ht="11.25">
      <c r="A25" s="35" t="s">
        <v>325</v>
      </c>
      <c r="B25" s="35" t="s">
        <v>93</v>
      </c>
      <c r="C25" s="27">
        <f>SUM(C73)</f>
        <v>10936.4</v>
      </c>
      <c r="D25" s="28">
        <f t="shared" ref="D25:X25" si="46">SUM(D73)</f>
        <v>11871.600000000002</v>
      </c>
      <c r="E25" s="28">
        <f t="shared" si="46"/>
        <v>12740.500000000002</v>
      </c>
      <c r="F25" s="28">
        <f t="shared" si="46"/>
        <v>13374.599999999999</v>
      </c>
      <c r="G25" s="27">
        <f t="shared" si="46"/>
        <v>14847.1</v>
      </c>
      <c r="H25" s="28">
        <f t="shared" si="46"/>
        <v>16219.1</v>
      </c>
      <c r="I25" s="28">
        <f t="shared" si="46"/>
        <v>18175.900000000001</v>
      </c>
      <c r="J25" s="29">
        <f t="shared" si="46"/>
        <v>19872.3</v>
      </c>
      <c r="K25" s="27">
        <f t="shared" si="46"/>
        <v>21133</v>
      </c>
      <c r="L25" s="28">
        <f t="shared" si="46"/>
        <v>21306.3</v>
      </c>
      <c r="M25" s="28">
        <f t="shared" si="46"/>
        <v>21405.799999999996</v>
      </c>
      <c r="N25" s="29">
        <f t="shared" si="46"/>
        <v>21370.2</v>
      </c>
      <c r="O25" s="27">
        <f t="shared" si="46"/>
        <v>21705.399999999998</v>
      </c>
      <c r="P25" s="28">
        <f t="shared" si="46"/>
        <v>22864.799999999999</v>
      </c>
      <c r="Q25" s="28">
        <f t="shared" si="46"/>
        <v>24292.400000000001</v>
      </c>
      <c r="R25" s="29">
        <f t="shared" si="46"/>
        <v>25223.8</v>
      </c>
      <c r="S25" s="27">
        <f t="shared" si="46"/>
        <v>26088.6</v>
      </c>
      <c r="T25" s="28">
        <f t="shared" si="46"/>
        <v>27686.6</v>
      </c>
      <c r="U25" s="28">
        <f t="shared" si="46"/>
        <v>29593.499999999996</v>
      </c>
      <c r="V25" s="29">
        <f t="shared" si="46"/>
        <v>31635.8</v>
      </c>
      <c r="W25" s="27">
        <f t="shared" si="46"/>
        <v>38737.599999999999</v>
      </c>
      <c r="X25" s="28">
        <f t="shared" si="46"/>
        <v>39331.9</v>
      </c>
      <c r="Y25" s="28">
        <f t="shared" ref="Y25:AD25" si="47">SUM(Y73)</f>
        <v>40103.599999999999</v>
      </c>
      <c r="Z25" s="29">
        <f t="shared" si="47"/>
        <v>39645</v>
      </c>
      <c r="AA25" s="27">
        <f t="shared" si="47"/>
        <v>40060</v>
      </c>
      <c r="AB25" s="28">
        <f t="shared" si="47"/>
        <v>41569.4</v>
      </c>
      <c r="AC25" s="28">
        <f t="shared" si="47"/>
        <v>43262.099999999991</v>
      </c>
      <c r="AD25" s="29">
        <f t="shared" si="47"/>
        <v>43409.099999999991</v>
      </c>
      <c r="AE25" s="27">
        <f t="shared" ref="AE25:AJ25" si="48">SUM(AE73)</f>
        <v>45744.6</v>
      </c>
      <c r="AF25" s="28">
        <f t="shared" si="48"/>
        <v>48332.400000000009</v>
      </c>
      <c r="AG25" s="28">
        <f t="shared" si="48"/>
        <v>51030.6</v>
      </c>
      <c r="AH25" s="29">
        <f t="shared" si="48"/>
        <v>51461.1</v>
      </c>
      <c r="AI25" s="28">
        <f t="shared" si="48"/>
        <v>54115.900000000009</v>
      </c>
      <c r="AJ25" s="28">
        <f t="shared" si="48"/>
        <v>58468.7</v>
      </c>
      <c r="AK25" s="28">
        <f>SUM(AK73)</f>
        <v>61918.399999999994</v>
      </c>
      <c r="AL25" s="29">
        <f>SUM(AL73)</f>
        <v>62285.600000000006</v>
      </c>
      <c r="AM25" s="28">
        <f>SUM(AM73)</f>
        <v>65329.900000000016</v>
      </c>
      <c r="AN25" s="28">
        <f>SUM(AN73)</f>
        <v>68319.400000000009</v>
      </c>
      <c r="AO25" s="28">
        <v>70845.100000000006</v>
      </c>
      <c r="AP25" s="29">
        <v>72306.2</v>
      </c>
      <c r="AQ25" s="28">
        <v>74940.800000000003</v>
      </c>
      <c r="AR25" s="28">
        <f>SUM(AR73)</f>
        <v>77554.600000000006</v>
      </c>
      <c r="AS25" s="28">
        <f>SUM(AS73)</f>
        <v>80899.999999999985</v>
      </c>
      <c r="AT25" s="28">
        <f>SUM(AT73)</f>
        <v>81741.900000000009</v>
      </c>
    </row>
    <row r="26" spans="1:46" s="17" customFormat="1" ht="22.5">
      <c r="A26" s="35" t="s">
        <v>326</v>
      </c>
      <c r="B26" s="35" t="s">
        <v>94</v>
      </c>
      <c r="C26" s="27">
        <f>SUM(C91)</f>
        <v>596.1</v>
      </c>
      <c r="D26" s="28">
        <f t="shared" ref="D26:X26" si="49">SUM(D91)</f>
        <v>573.1</v>
      </c>
      <c r="E26" s="28">
        <f t="shared" si="49"/>
        <v>583.20000000000005</v>
      </c>
      <c r="F26" s="28">
        <f t="shared" si="49"/>
        <v>667.69999999999993</v>
      </c>
      <c r="G26" s="27">
        <f t="shared" si="49"/>
        <v>641.6</v>
      </c>
      <c r="H26" s="28">
        <f t="shared" si="49"/>
        <v>648.1</v>
      </c>
      <c r="I26" s="28">
        <f t="shared" si="49"/>
        <v>670.9</v>
      </c>
      <c r="J26" s="29">
        <f t="shared" si="49"/>
        <v>2691.1</v>
      </c>
      <c r="K26" s="27">
        <f t="shared" si="49"/>
        <v>4770.1000000000004</v>
      </c>
      <c r="L26" s="28">
        <f t="shared" si="49"/>
        <v>4474.2999999999993</v>
      </c>
      <c r="M26" s="28">
        <f t="shared" si="49"/>
        <v>4619.9000000000005</v>
      </c>
      <c r="N26" s="29">
        <f t="shared" si="49"/>
        <v>5900.7000000000007</v>
      </c>
      <c r="O26" s="27">
        <f t="shared" si="49"/>
        <v>5754.9000000000005</v>
      </c>
      <c r="P26" s="28">
        <f t="shared" si="49"/>
        <v>6240.4000000000005</v>
      </c>
      <c r="Q26" s="28">
        <f t="shared" si="49"/>
        <v>6357.2999999999993</v>
      </c>
      <c r="R26" s="29">
        <f t="shared" si="49"/>
        <v>6618.9</v>
      </c>
      <c r="S26" s="27">
        <f t="shared" si="49"/>
        <v>6539.4</v>
      </c>
      <c r="T26" s="28">
        <f t="shared" si="49"/>
        <v>6458.8</v>
      </c>
      <c r="U26" s="28">
        <f t="shared" si="49"/>
        <v>7232.9</v>
      </c>
      <c r="V26" s="29">
        <f t="shared" si="49"/>
        <v>7785</v>
      </c>
      <c r="W26" s="27">
        <f t="shared" si="49"/>
        <v>7730.8</v>
      </c>
      <c r="X26" s="28">
        <f t="shared" si="49"/>
        <v>7781.6</v>
      </c>
      <c r="Y26" s="28">
        <f t="shared" ref="Y26:AD26" si="50">SUM(Y91)</f>
        <v>7646</v>
      </c>
      <c r="Z26" s="29">
        <f t="shared" si="50"/>
        <v>7694.9000000000005</v>
      </c>
      <c r="AA26" s="27">
        <f t="shared" si="50"/>
        <v>7653.4000000000005</v>
      </c>
      <c r="AB26" s="28">
        <f t="shared" si="50"/>
        <v>7481.2999999999993</v>
      </c>
      <c r="AC26" s="28">
        <f t="shared" si="50"/>
        <v>7312.0999999999995</v>
      </c>
      <c r="AD26" s="29">
        <f t="shared" si="50"/>
        <v>7260.6999999999989</v>
      </c>
      <c r="AE26" s="27">
        <f t="shared" ref="AE26:AJ26" si="51">SUM(AE91)</f>
        <v>7308.4</v>
      </c>
      <c r="AF26" s="28">
        <f t="shared" si="51"/>
        <v>7253.4000000000005</v>
      </c>
      <c r="AG26" s="28">
        <f t="shared" si="51"/>
        <v>7408</v>
      </c>
      <c r="AH26" s="29">
        <f t="shared" si="51"/>
        <v>7724.6</v>
      </c>
      <c r="AI26" s="28">
        <f t="shared" si="51"/>
        <v>7532.4000000000005</v>
      </c>
      <c r="AJ26" s="28">
        <f t="shared" si="51"/>
        <v>7461.1</v>
      </c>
      <c r="AK26" s="28">
        <f>SUM(AK91)</f>
        <v>7489.6</v>
      </c>
      <c r="AL26" s="29">
        <f>SUM(AL91)</f>
        <v>7724</v>
      </c>
      <c r="AM26" s="28">
        <f>SUM(AM91)</f>
        <v>7693.5</v>
      </c>
      <c r="AN26" s="28">
        <f>SUM(AN91)</f>
        <v>7653.4000000000005</v>
      </c>
      <c r="AO26" s="28">
        <v>7466.9</v>
      </c>
      <c r="AP26" s="29">
        <v>7326</v>
      </c>
      <c r="AQ26" s="28">
        <v>7065.2</v>
      </c>
      <c r="AR26" s="28">
        <f>SUM(AR91)</f>
        <v>6822.3</v>
      </c>
      <c r="AS26" s="28">
        <f>SUM(AS91)</f>
        <v>6739.1</v>
      </c>
      <c r="AT26" s="28">
        <f>SUM(AT91)</f>
        <v>6411.4000000000005</v>
      </c>
    </row>
    <row r="27" spans="1:46" s="17" customFormat="1" ht="11.25">
      <c r="A27" s="35"/>
      <c r="B27" s="35"/>
      <c r="C27" s="27"/>
      <c r="D27" s="28"/>
      <c r="E27" s="28"/>
      <c r="F27" s="28"/>
      <c r="G27" s="27"/>
      <c r="H27" s="28"/>
      <c r="I27" s="28"/>
      <c r="J27" s="29"/>
      <c r="K27" s="27"/>
      <c r="L27" s="28"/>
      <c r="M27" s="28"/>
      <c r="N27" s="29"/>
      <c r="O27" s="27"/>
      <c r="P27" s="28"/>
      <c r="Q27" s="28"/>
      <c r="R27" s="29"/>
      <c r="S27" s="27"/>
      <c r="T27" s="28"/>
      <c r="U27" s="28"/>
      <c r="V27" s="29"/>
      <c r="W27" s="27"/>
      <c r="X27" s="28"/>
      <c r="Y27" s="28"/>
      <c r="Z27" s="29"/>
      <c r="AA27" s="27"/>
      <c r="AB27" s="28"/>
      <c r="AC27" s="28"/>
      <c r="AD27" s="29"/>
      <c r="AE27" s="27"/>
      <c r="AF27" s="28"/>
      <c r="AG27" s="28"/>
      <c r="AH27" s="29"/>
      <c r="AI27" s="28"/>
      <c r="AJ27" s="28"/>
      <c r="AK27" s="28"/>
      <c r="AL27" s="29"/>
      <c r="AM27" s="28"/>
      <c r="AN27" s="28"/>
      <c r="AO27" s="28"/>
      <c r="AP27" s="29"/>
      <c r="AQ27" s="28"/>
      <c r="AR27" s="28"/>
      <c r="AS27" s="28"/>
      <c r="AT27" s="29"/>
    </row>
    <row r="28" spans="1:46" s="17" customFormat="1" ht="11.25">
      <c r="A28" s="54" t="s">
        <v>250</v>
      </c>
      <c r="B28" s="54" t="s">
        <v>83</v>
      </c>
      <c r="C28" s="27"/>
      <c r="D28" s="28"/>
      <c r="E28" s="28"/>
      <c r="F28" s="28"/>
      <c r="G28" s="27"/>
      <c r="H28" s="28"/>
      <c r="I28" s="28"/>
      <c r="J28" s="29"/>
      <c r="K28" s="27"/>
      <c r="L28" s="28"/>
      <c r="M28" s="28"/>
      <c r="N28" s="29"/>
      <c r="O28" s="27"/>
      <c r="P28" s="28"/>
      <c r="Q28" s="28"/>
      <c r="R28" s="29"/>
      <c r="S28" s="27"/>
      <c r="T28" s="28"/>
      <c r="U28" s="28"/>
      <c r="V28" s="29"/>
      <c r="W28" s="27"/>
      <c r="X28" s="28"/>
      <c r="Y28" s="28"/>
      <c r="Z28" s="29"/>
      <c r="AA28" s="27"/>
      <c r="AB28" s="28"/>
      <c r="AC28" s="28"/>
      <c r="AD28" s="29"/>
      <c r="AE28" s="27"/>
      <c r="AF28" s="28"/>
      <c r="AG28" s="28"/>
      <c r="AH28" s="29"/>
      <c r="AI28" s="28"/>
      <c r="AJ28" s="28"/>
      <c r="AK28" s="28"/>
      <c r="AL28" s="29"/>
      <c r="AM28" s="28"/>
      <c r="AN28" s="28"/>
      <c r="AO28" s="28"/>
      <c r="AP28" s="29"/>
      <c r="AQ28" s="28"/>
      <c r="AR28" s="28"/>
      <c r="AS28" s="28"/>
      <c r="AT28" s="29"/>
    </row>
    <row r="29" spans="1:46" s="17" customFormat="1" ht="11.25">
      <c r="A29" s="26"/>
      <c r="B29" s="26"/>
      <c r="C29" s="27"/>
      <c r="D29" s="28"/>
      <c r="E29" s="28"/>
      <c r="F29" s="28"/>
      <c r="G29" s="27"/>
      <c r="H29" s="28"/>
      <c r="I29" s="28"/>
      <c r="J29" s="29"/>
      <c r="K29" s="27"/>
      <c r="L29" s="28"/>
      <c r="M29" s="28"/>
      <c r="N29" s="29"/>
      <c r="O29" s="27"/>
      <c r="P29" s="28"/>
      <c r="Q29" s="28"/>
      <c r="R29" s="29"/>
      <c r="S29" s="27"/>
      <c r="T29" s="28"/>
      <c r="U29" s="28"/>
      <c r="V29" s="29"/>
      <c r="W29" s="27"/>
      <c r="X29" s="28"/>
      <c r="Y29" s="28"/>
      <c r="Z29" s="29"/>
      <c r="AA29" s="27"/>
      <c r="AB29" s="28"/>
      <c r="AC29" s="28"/>
      <c r="AD29" s="29"/>
      <c r="AE29" s="27"/>
      <c r="AF29" s="28"/>
      <c r="AG29" s="28"/>
      <c r="AH29" s="29"/>
      <c r="AI29" s="28"/>
      <c r="AJ29" s="28"/>
      <c r="AK29" s="28"/>
      <c r="AL29" s="29"/>
      <c r="AM29" s="28"/>
      <c r="AN29" s="28"/>
      <c r="AO29" s="28"/>
      <c r="AP29" s="29"/>
      <c r="AQ29" s="28"/>
      <c r="AR29" s="28"/>
      <c r="AS29" s="28"/>
      <c r="AT29" s="29"/>
    </row>
    <row r="30" spans="1:46" s="17" customFormat="1" ht="11.25">
      <c r="A30" s="26" t="s">
        <v>251</v>
      </c>
      <c r="B30" s="26" t="s">
        <v>84</v>
      </c>
      <c r="C30" s="27">
        <f>SUM(C31:C32)</f>
        <v>2175.8000000000002</v>
      </c>
      <c r="D30" s="28">
        <f t="shared" ref="D30:X30" si="52">SUM(D31:D32)</f>
        <v>2057.5</v>
      </c>
      <c r="E30" s="28">
        <f t="shared" si="52"/>
        <v>2061.8999999999996</v>
      </c>
      <c r="F30" s="28">
        <f t="shared" si="52"/>
        <v>2232.6</v>
      </c>
      <c r="G30" s="27">
        <f>SUM(G31:G32)</f>
        <v>2461.8000000000002</v>
      </c>
      <c r="H30" s="28">
        <f t="shared" si="52"/>
        <v>2602.6999999999998</v>
      </c>
      <c r="I30" s="28">
        <f t="shared" si="52"/>
        <v>2918.7000000000003</v>
      </c>
      <c r="J30" s="29">
        <f t="shared" si="52"/>
        <v>2925.1</v>
      </c>
      <c r="K30" s="27">
        <f t="shared" si="52"/>
        <v>2866.4</v>
      </c>
      <c r="L30" s="28">
        <f t="shared" si="52"/>
        <v>2714.5</v>
      </c>
      <c r="M30" s="28">
        <f t="shared" si="52"/>
        <v>2673.4</v>
      </c>
      <c r="N30" s="29">
        <f t="shared" si="52"/>
        <v>2545.6</v>
      </c>
      <c r="O30" s="27">
        <f t="shared" si="52"/>
        <v>2369.1</v>
      </c>
      <c r="P30" s="28">
        <f t="shared" si="52"/>
        <v>2420</v>
      </c>
      <c r="Q30" s="28">
        <f t="shared" si="52"/>
        <v>2428.5</v>
      </c>
      <c r="R30" s="29">
        <f t="shared" si="52"/>
        <v>2585</v>
      </c>
      <c r="S30" s="27">
        <f t="shared" si="52"/>
        <v>2491.1999999999998</v>
      </c>
      <c r="T30" s="28">
        <f t="shared" si="52"/>
        <v>2714.1</v>
      </c>
      <c r="U30" s="28">
        <f t="shared" si="52"/>
        <v>2733.3</v>
      </c>
      <c r="V30" s="29">
        <f t="shared" si="52"/>
        <v>2821.7999999999997</v>
      </c>
      <c r="W30" s="27">
        <f t="shared" si="52"/>
        <v>1140.5000000000002</v>
      </c>
      <c r="X30" s="28">
        <f t="shared" si="52"/>
        <v>1276.1000000000001</v>
      </c>
      <c r="Y30" s="28">
        <f t="shared" ref="Y30:AD30" si="53">SUM(Y31:Y32)</f>
        <v>1408.9999999999998</v>
      </c>
      <c r="Z30" s="29">
        <f t="shared" si="53"/>
        <v>1533.8</v>
      </c>
      <c r="AA30" s="27">
        <f t="shared" si="53"/>
        <v>1310.3999999999996</v>
      </c>
      <c r="AB30" s="28">
        <f t="shared" si="53"/>
        <v>1334.3000000000002</v>
      </c>
      <c r="AC30" s="28">
        <f t="shared" si="53"/>
        <v>1432.6000000000001</v>
      </c>
      <c r="AD30" s="29">
        <f t="shared" si="53"/>
        <v>1457.8999999999999</v>
      </c>
      <c r="AE30" s="27">
        <f t="shared" ref="AE30:AJ30" si="54">SUM(AE31:AE32)</f>
        <v>1417.9999999999998</v>
      </c>
      <c r="AF30" s="28">
        <f t="shared" si="54"/>
        <v>1641.8</v>
      </c>
      <c r="AG30" s="28">
        <f t="shared" si="54"/>
        <v>1679.9</v>
      </c>
      <c r="AH30" s="29">
        <f t="shared" si="54"/>
        <v>1778.6999999999998</v>
      </c>
      <c r="AI30" s="28">
        <f t="shared" si="54"/>
        <v>1660.3999999999999</v>
      </c>
      <c r="AJ30" s="28">
        <f t="shared" si="54"/>
        <v>2070.1999999999998</v>
      </c>
      <c r="AK30" s="28">
        <f t="shared" ref="AK30:AT30" si="55">SUM(AK31:AK32)</f>
        <v>1921.3</v>
      </c>
      <c r="AL30" s="29">
        <f t="shared" si="55"/>
        <v>1936.1</v>
      </c>
      <c r="AM30" s="28">
        <f t="shared" si="55"/>
        <v>1787.1000000000001</v>
      </c>
      <c r="AN30" s="28">
        <f t="shared" si="55"/>
        <v>1866</v>
      </c>
      <c r="AO30" s="28">
        <f t="shared" si="55"/>
        <v>1563.5</v>
      </c>
      <c r="AP30" s="29">
        <f t="shared" si="55"/>
        <v>1879</v>
      </c>
      <c r="AQ30" s="28">
        <f t="shared" si="55"/>
        <v>1917.8</v>
      </c>
      <c r="AR30" s="28">
        <f t="shared" si="55"/>
        <v>2076.4</v>
      </c>
      <c r="AS30" s="28">
        <f t="shared" si="55"/>
        <v>1913.7</v>
      </c>
      <c r="AT30" s="28">
        <f t="shared" si="55"/>
        <v>1954.7</v>
      </c>
    </row>
    <row r="31" spans="1:46" s="196" customFormat="1" ht="11.25">
      <c r="A31" s="185" t="s">
        <v>252</v>
      </c>
      <c r="B31" s="185" t="s">
        <v>85</v>
      </c>
      <c r="C31" s="47">
        <v>454.3</v>
      </c>
      <c r="D31" s="48">
        <v>436.3</v>
      </c>
      <c r="E31" s="48">
        <v>432</v>
      </c>
      <c r="F31" s="48">
        <v>379</v>
      </c>
      <c r="G31" s="47">
        <v>452.4</v>
      </c>
      <c r="H31" s="48">
        <v>520</v>
      </c>
      <c r="I31" s="48">
        <v>399.4</v>
      </c>
      <c r="J31" s="49">
        <v>382.7</v>
      </c>
      <c r="K31" s="47">
        <v>369.1</v>
      </c>
      <c r="L31" s="48">
        <v>354.5</v>
      </c>
      <c r="M31" s="48">
        <v>414.3</v>
      </c>
      <c r="N31" s="49">
        <v>381.1</v>
      </c>
      <c r="O31" s="47">
        <v>332.8</v>
      </c>
      <c r="P31" s="48">
        <v>369</v>
      </c>
      <c r="Q31" s="48">
        <v>408.6</v>
      </c>
      <c r="R31" s="49">
        <v>434.8</v>
      </c>
      <c r="S31" s="47">
        <v>438.1</v>
      </c>
      <c r="T31" s="48">
        <v>501.9</v>
      </c>
      <c r="U31" s="48">
        <v>548.20000000000005</v>
      </c>
      <c r="V31" s="49">
        <v>4.7</v>
      </c>
      <c r="W31" s="47">
        <v>18.700000000000045</v>
      </c>
      <c r="X31" s="48">
        <v>32.700000000000045</v>
      </c>
      <c r="Y31" s="48">
        <v>46.299999999999955</v>
      </c>
      <c r="Z31" s="49">
        <v>127.90000000000009</v>
      </c>
      <c r="AA31" s="47">
        <v>40.800000000000068</v>
      </c>
      <c r="AB31" s="48">
        <v>32</v>
      </c>
      <c r="AC31" s="48">
        <v>110.20000000000005</v>
      </c>
      <c r="AD31" s="49">
        <v>66.799999999999955</v>
      </c>
      <c r="AE31" s="47">
        <v>46.7</v>
      </c>
      <c r="AF31" s="48">
        <v>60.700000000000045</v>
      </c>
      <c r="AG31" s="48">
        <v>71.599999999999909</v>
      </c>
      <c r="AH31" s="49">
        <v>584.59999999999991</v>
      </c>
      <c r="AI31" s="48">
        <v>63.899999999999864</v>
      </c>
      <c r="AJ31" s="48">
        <v>219.9</v>
      </c>
      <c r="AK31" s="48">
        <v>164.1</v>
      </c>
      <c r="AL31" s="49">
        <v>157.30000000000001</v>
      </c>
      <c r="AM31" s="48">
        <v>166.7</v>
      </c>
      <c r="AN31" s="48">
        <v>392.5</v>
      </c>
      <c r="AO31" s="48">
        <v>258.39999999999998</v>
      </c>
      <c r="AP31" s="49">
        <v>376.3</v>
      </c>
      <c r="AQ31" s="48">
        <v>592</v>
      </c>
      <c r="AR31" s="48">
        <v>674.6</v>
      </c>
      <c r="AS31" s="48">
        <v>594.5</v>
      </c>
      <c r="AT31" s="49">
        <v>696.3</v>
      </c>
    </row>
    <row r="32" spans="1:46" s="196" customFormat="1" ht="11.25">
      <c r="A32" s="185" t="s">
        <v>253</v>
      </c>
      <c r="B32" s="185" t="s">
        <v>86</v>
      </c>
      <c r="C32" s="47">
        <f>1716.3+5.2</f>
        <v>1721.5</v>
      </c>
      <c r="D32" s="48">
        <f>1617.2+4</f>
        <v>1621.2</v>
      </c>
      <c r="E32" s="48">
        <f>1625.6+4.3</f>
        <v>1629.8999999999999</v>
      </c>
      <c r="F32" s="48">
        <v>1853.6</v>
      </c>
      <c r="G32" s="47">
        <v>2009.4</v>
      </c>
      <c r="H32" s="48">
        <v>2082.6999999999998</v>
      </c>
      <c r="I32" s="48">
        <v>2519.3000000000002</v>
      </c>
      <c r="J32" s="49">
        <v>2542.4</v>
      </c>
      <c r="K32" s="47">
        <v>2497.3000000000002</v>
      </c>
      <c r="L32" s="48">
        <v>2360</v>
      </c>
      <c r="M32" s="48">
        <v>2259.1</v>
      </c>
      <c r="N32" s="49">
        <v>2164.5</v>
      </c>
      <c r="O32" s="47">
        <v>2036.3</v>
      </c>
      <c r="P32" s="48">
        <v>2051</v>
      </c>
      <c r="Q32" s="48">
        <v>2019.9</v>
      </c>
      <c r="R32" s="49">
        <v>2150.1999999999998</v>
      </c>
      <c r="S32" s="47">
        <v>2053.1</v>
      </c>
      <c r="T32" s="48">
        <v>2212.1999999999998</v>
      </c>
      <c r="U32" s="48">
        <v>2185.1</v>
      </c>
      <c r="V32" s="49">
        <v>2817.1</v>
      </c>
      <c r="W32" s="47">
        <v>1121.8000000000002</v>
      </c>
      <c r="X32" s="48">
        <v>1243.4000000000001</v>
      </c>
      <c r="Y32" s="48">
        <v>1362.6999999999998</v>
      </c>
      <c r="Z32" s="49">
        <v>1405.8999999999999</v>
      </c>
      <c r="AA32" s="47">
        <v>1269.5999999999997</v>
      </c>
      <c r="AB32" s="48">
        <v>1302.3000000000002</v>
      </c>
      <c r="AC32" s="48">
        <v>1322.4</v>
      </c>
      <c r="AD32" s="49">
        <v>1391.1</v>
      </c>
      <c r="AE32" s="47">
        <v>1371.2999999999997</v>
      </c>
      <c r="AF32" s="48">
        <v>1581.1</v>
      </c>
      <c r="AG32" s="48">
        <v>1608.3000000000002</v>
      </c>
      <c r="AH32" s="49">
        <v>1194.0999999999999</v>
      </c>
      <c r="AI32" s="48">
        <v>1596.5</v>
      </c>
      <c r="AJ32" s="48">
        <v>1850.3</v>
      </c>
      <c r="AK32" s="48">
        <v>1757.2</v>
      </c>
      <c r="AL32" s="49">
        <v>1778.8</v>
      </c>
      <c r="AM32" s="48">
        <v>1620.4</v>
      </c>
      <c r="AN32" s="48">
        <v>1473.5</v>
      </c>
      <c r="AO32" s="48">
        <v>1305.0999999999999</v>
      </c>
      <c r="AP32" s="49">
        <v>1502.7</v>
      </c>
      <c r="AQ32" s="48">
        <v>1325.8</v>
      </c>
      <c r="AR32" s="48">
        <v>1401.8</v>
      </c>
      <c r="AS32" s="48">
        <v>1319.2</v>
      </c>
      <c r="AT32" s="49">
        <v>1258.4000000000001</v>
      </c>
    </row>
    <row r="33" spans="1:46" s="17" customFormat="1" ht="11.25">
      <c r="A33" s="26" t="s">
        <v>242</v>
      </c>
      <c r="B33" s="26" t="s">
        <v>75</v>
      </c>
      <c r="C33" s="27">
        <v>0</v>
      </c>
      <c r="D33" s="28">
        <v>0</v>
      </c>
      <c r="E33" s="28">
        <v>0</v>
      </c>
      <c r="F33" s="28">
        <v>0</v>
      </c>
      <c r="G33" s="27">
        <v>0</v>
      </c>
      <c r="H33" s="28">
        <v>0</v>
      </c>
      <c r="I33" s="28">
        <v>0</v>
      </c>
      <c r="J33" s="29">
        <v>0</v>
      </c>
      <c r="K33" s="27">
        <v>0</v>
      </c>
      <c r="L33" s="28">
        <v>0</v>
      </c>
      <c r="M33" s="28">
        <v>0</v>
      </c>
      <c r="N33" s="29">
        <v>0</v>
      </c>
      <c r="O33" s="27">
        <v>0</v>
      </c>
      <c r="P33" s="28">
        <v>0</v>
      </c>
      <c r="Q33" s="28">
        <v>0</v>
      </c>
      <c r="R33" s="29">
        <v>0</v>
      </c>
      <c r="S33" s="27">
        <v>0</v>
      </c>
      <c r="T33" s="28">
        <v>0</v>
      </c>
      <c r="U33" s="28">
        <v>0</v>
      </c>
      <c r="V33" s="29">
        <v>0</v>
      </c>
      <c r="W33" s="27">
        <v>0.1</v>
      </c>
      <c r="X33" s="28">
        <v>0</v>
      </c>
      <c r="Y33" s="28">
        <v>0.6</v>
      </c>
      <c r="Z33" s="29">
        <v>0.6</v>
      </c>
      <c r="AA33" s="27">
        <v>0.4</v>
      </c>
      <c r="AB33" s="28">
        <v>0.6</v>
      </c>
      <c r="AC33" s="28">
        <v>0.6</v>
      </c>
      <c r="AD33" s="29">
        <v>0.4</v>
      </c>
      <c r="AE33" s="27">
        <v>0.6</v>
      </c>
      <c r="AF33" s="28">
        <v>0.5</v>
      </c>
      <c r="AG33" s="28">
        <v>0.5</v>
      </c>
      <c r="AH33" s="29">
        <v>0.8</v>
      </c>
      <c r="AI33" s="28">
        <v>0.7</v>
      </c>
      <c r="AJ33" s="28">
        <v>0.8</v>
      </c>
      <c r="AK33" s="28">
        <v>11</v>
      </c>
      <c r="AL33" s="29">
        <v>0.7</v>
      </c>
      <c r="AM33" s="28">
        <v>0.6</v>
      </c>
      <c r="AN33" s="28">
        <v>0.4</v>
      </c>
      <c r="AO33" s="28">
        <v>0.6</v>
      </c>
      <c r="AP33" s="29">
        <v>0.6</v>
      </c>
      <c r="AQ33" s="28">
        <v>0.6</v>
      </c>
      <c r="AR33" s="28">
        <v>0.5</v>
      </c>
      <c r="AS33" s="28">
        <v>0.2</v>
      </c>
      <c r="AT33" s="29">
        <v>0.2</v>
      </c>
    </row>
    <row r="34" spans="1:46" s="17" customFormat="1" ht="11.25">
      <c r="A34" s="26" t="s">
        <v>243</v>
      </c>
      <c r="B34" s="26" t="s">
        <v>76</v>
      </c>
      <c r="C34" s="27">
        <v>0</v>
      </c>
      <c r="D34" s="28">
        <v>0</v>
      </c>
      <c r="E34" s="28">
        <v>0</v>
      </c>
      <c r="F34" s="28">
        <v>0</v>
      </c>
      <c r="G34" s="27">
        <v>0</v>
      </c>
      <c r="H34" s="28">
        <v>0</v>
      </c>
      <c r="I34" s="28">
        <v>0</v>
      </c>
      <c r="J34" s="29">
        <v>0</v>
      </c>
      <c r="K34" s="27">
        <v>0</v>
      </c>
      <c r="L34" s="28">
        <v>0</v>
      </c>
      <c r="M34" s="28">
        <v>0</v>
      </c>
      <c r="N34" s="29">
        <v>0</v>
      </c>
      <c r="O34" s="27">
        <v>0</v>
      </c>
      <c r="P34" s="28">
        <v>0</v>
      </c>
      <c r="Q34" s="28">
        <v>0</v>
      </c>
      <c r="R34" s="29">
        <v>0</v>
      </c>
      <c r="S34" s="27">
        <v>0</v>
      </c>
      <c r="T34" s="28">
        <v>0</v>
      </c>
      <c r="U34" s="28">
        <v>0</v>
      </c>
      <c r="V34" s="29">
        <v>0</v>
      </c>
      <c r="W34" s="27">
        <v>0</v>
      </c>
      <c r="X34" s="28">
        <v>0</v>
      </c>
      <c r="Y34" s="28">
        <v>3.5</v>
      </c>
      <c r="Z34" s="29">
        <v>0</v>
      </c>
      <c r="AA34" s="27">
        <v>4.5</v>
      </c>
      <c r="AB34" s="28">
        <v>0</v>
      </c>
      <c r="AC34" s="28">
        <v>0</v>
      </c>
      <c r="AD34" s="29">
        <v>0</v>
      </c>
      <c r="AE34" s="27">
        <v>0</v>
      </c>
      <c r="AF34" s="28">
        <v>0</v>
      </c>
      <c r="AG34" s="28">
        <v>0</v>
      </c>
      <c r="AH34" s="29">
        <v>0</v>
      </c>
      <c r="AI34" s="28">
        <v>0</v>
      </c>
      <c r="AJ34" s="28">
        <v>4</v>
      </c>
      <c r="AK34" s="28">
        <v>7.5</v>
      </c>
      <c r="AL34" s="29">
        <v>21.1</v>
      </c>
      <c r="AM34" s="28">
        <v>20.399999999999999</v>
      </c>
      <c r="AN34" s="28">
        <v>20.399999999999999</v>
      </c>
      <c r="AO34" s="28">
        <v>0.5</v>
      </c>
      <c r="AP34" s="29">
        <v>0.5</v>
      </c>
      <c r="AQ34" s="28">
        <v>0.1</v>
      </c>
      <c r="AR34" s="28">
        <v>0</v>
      </c>
      <c r="AS34" s="28">
        <v>50.3</v>
      </c>
      <c r="AT34" s="29">
        <v>85.9</v>
      </c>
    </row>
    <row r="35" spans="1:46" s="172" customFormat="1" ht="11.25">
      <c r="A35" s="26" t="s">
        <v>521</v>
      </c>
      <c r="B35" s="26" t="s">
        <v>512</v>
      </c>
      <c r="C35" s="27">
        <v>0</v>
      </c>
      <c r="D35" s="28">
        <v>0</v>
      </c>
      <c r="E35" s="28">
        <v>0</v>
      </c>
      <c r="F35" s="28">
        <v>0</v>
      </c>
      <c r="G35" s="27">
        <v>0</v>
      </c>
      <c r="H35" s="28">
        <v>0</v>
      </c>
      <c r="I35" s="28">
        <v>0</v>
      </c>
      <c r="J35" s="29">
        <v>0</v>
      </c>
      <c r="K35" s="27">
        <v>0</v>
      </c>
      <c r="L35" s="28">
        <v>0</v>
      </c>
      <c r="M35" s="28">
        <v>0</v>
      </c>
      <c r="N35" s="29">
        <v>0</v>
      </c>
      <c r="O35" s="27">
        <v>0</v>
      </c>
      <c r="P35" s="28">
        <v>0</v>
      </c>
      <c r="Q35" s="28">
        <v>0</v>
      </c>
      <c r="R35" s="29">
        <v>0</v>
      </c>
      <c r="S35" s="27">
        <v>0</v>
      </c>
      <c r="T35" s="28">
        <v>0</v>
      </c>
      <c r="U35" s="28">
        <v>0</v>
      </c>
      <c r="V35" s="29">
        <v>0</v>
      </c>
      <c r="W35" s="27">
        <v>0</v>
      </c>
      <c r="X35" s="28">
        <v>0</v>
      </c>
      <c r="Y35" s="28">
        <v>0</v>
      </c>
      <c r="Z35" s="29">
        <v>0</v>
      </c>
      <c r="AA35" s="27">
        <v>0</v>
      </c>
      <c r="AB35" s="28">
        <v>0</v>
      </c>
      <c r="AC35" s="28">
        <v>0</v>
      </c>
      <c r="AD35" s="29">
        <v>0</v>
      </c>
      <c r="AE35" s="27">
        <v>0</v>
      </c>
      <c r="AF35" s="28">
        <v>0</v>
      </c>
      <c r="AG35" s="28">
        <v>0</v>
      </c>
      <c r="AH35" s="29">
        <v>0</v>
      </c>
      <c r="AI35" s="28">
        <v>0</v>
      </c>
      <c r="AJ35" s="28">
        <v>0</v>
      </c>
      <c r="AK35" s="28">
        <v>0</v>
      </c>
      <c r="AL35" s="29">
        <v>384.5</v>
      </c>
      <c r="AM35" s="28">
        <v>386.5</v>
      </c>
      <c r="AN35" s="28">
        <v>386.5</v>
      </c>
      <c r="AO35" s="28">
        <v>386.5</v>
      </c>
      <c r="AP35" s="29">
        <v>386.6</v>
      </c>
      <c r="AQ35" s="28">
        <v>386.5</v>
      </c>
      <c r="AR35" s="28">
        <v>386.6</v>
      </c>
      <c r="AS35" s="28">
        <v>386.6</v>
      </c>
      <c r="AT35" s="29">
        <v>759.1</v>
      </c>
    </row>
    <row r="36" spans="1:46" s="172" customFormat="1" ht="11.25">
      <c r="A36" s="26" t="s">
        <v>244</v>
      </c>
      <c r="B36" s="26" t="s">
        <v>77</v>
      </c>
      <c r="C36" s="27">
        <v>81.900000000000006</v>
      </c>
      <c r="D36" s="28">
        <f>69.7</f>
        <v>69.7</v>
      </c>
      <c r="E36" s="28">
        <f>68.3</f>
        <v>68.3</v>
      </c>
      <c r="F36" s="28">
        <v>110</v>
      </c>
      <c r="G36" s="27">
        <v>95.1</v>
      </c>
      <c r="H36" s="28">
        <v>103.1</v>
      </c>
      <c r="I36" s="28">
        <v>153.5</v>
      </c>
      <c r="J36" s="29">
        <v>98.2</v>
      </c>
      <c r="K36" s="27">
        <v>103.9</v>
      </c>
      <c r="L36" s="28">
        <v>120.6</v>
      </c>
      <c r="M36" s="28">
        <v>138.30000000000001</v>
      </c>
      <c r="N36" s="29">
        <v>151.4</v>
      </c>
      <c r="O36" s="27">
        <v>145.6</v>
      </c>
      <c r="P36" s="28">
        <v>129.6</v>
      </c>
      <c r="Q36" s="28">
        <v>153.69999999999999</v>
      </c>
      <c r="R36" s="29">
        <v>83.2</v>
      </c>
      <c r="S36" s="27">
        <v>175.1</v>
      </c>
      <c r="T36" s="28">
        <v>154.80000000000001</v>
      </c>
      <c r="U36" s="28">
        <v>140.19999999999999</v>
      </c>
      <c r="V36" s="29">
        <v>87.4</v>
      </c>
      <c r="W36" s="27">
        <v>108.7</v>
      </c>
      <c r="X36" s="28">
        <v>101.7</v>
      </c>
      <c r="Y36" s="28">
        <v>112.80000000000001</v>
      </c>
      <c r="Z36" s="29">
        <v>111.60000000000001</v>
      </c>
      <c r="AA36" s="27">
        <v>90.8</v>
      </c>
      <c r="AB36" s="28">
        <v>87.2</v>
      </c>
      <c r="AC36" s="28">
        <v>98</v>
      </c>
      <c r="AD36" s="29">
        <v>110.60000000000001</v>
      </c>
      <c r="AE36" s="27">
        <v>127.80000000000001</v>
      </c>
      <c r="AF36" s="28">
        <v>92.4</v>
      </c>
      <c r="AG36" s="28">
        <v>100.89999999999999</v>
      </c>
      <c r="AH36" s="29">
        <v>90.8</v>
      </c>
      <c r="AI36" s="28">
        <v>90.3</v>
      </c>
      <c r="AJ36" s="28">
        <v>123.3</v>
      </c>
      <c r="AK36" s="28">
        <v>78</v>
      </c>
      <c r="AL36" s="29">
        <v>168.3</v>
      </c>
      <c r="AM36" s="28">
        <v>113.1</v>
      </c>
      <c r="AN36" s="28">
        <v>63.1</v>
      </c>
      <c r="AO36" s="28">
        <v>115.2</v>
      </c>
      <c r="AP36" s="29">
        <v>81.599999999999994</v>
      </c>
      <c r="AQ36" s="28">
        <v>69.400000000000006</v>
      </c>
      <c r="AR36" s="28">
        <v>62.7</v>
      </c>
      <c r="AS36" s="28">
        <v>98.3</v>
      </c>
      <c r="AT36" s="29">
        <v>136.1</v>
      </c>
    </row>
    <row r="37" spans="1:46" s="172" customFormat="1" ht="11.25">
      <c r="A37" s="45" t="s">
        <v>254</v>
      </c>
      <c r="B37" s="45" t="s">
        <v>78</v>
      </c>
      <c r="C37" s="32">
        <f t="shared" ref="C37:AB37" si="56">C30+C33+C34+C36</f>
        <v>2257.7000000000003</v>
      </c>
      <c r="D37" s="33">
        <f t="shared" si="56"/>
        <v>2127.1999999999998</v>
      </c>
      <c r="E37" s="33">
        <f t="shared" si="56"/>
        <v>2130.1999999999998</v>
      </c>
      <c r="F37" s="33">
        <f t="shared" si="56"/>
        <v>2342.6</v>
      </c>
      <c r="G37" s="32">
        <f t="shared" si="56"/>
        <v>2556.9</v>
      </c>
      <c r="H37" s="33">
        <f t="shared" si="56"/>
        <v>2705.7999999999997</v>
      </c>
      <c r="I37" s="33">
        <f t="shared" si="56"/>
        <v>3072.2000000000003</v>
      </c>
      <c r="J37" s="34">
        <f t="shared" si="56"/>
        <v>3023.2999999999997</v>
      </c>
      <c r="K37" s="32">
        <f t="shared" si="56"/>
        <v>2970.3</v>
      </c>
      <c r="L37" s="33">
        <f t="shared" si="56"/>
        <v>2835.1</v>
      </c>
      <c r="M37" s="33">
        <f t="shared" si="56"/>
        <v>2811.7000000000003</v>
      </c>
      <c r="N37" s="34">
        <f t="shared" si="56"/>
        <v>2697</v>
      </c>
      <c r="O37" s="32">
        <f t="shared" si="56"/>
        <v>2514.6999999999998</v>
      </c>
      <c r="P37" s="33">
        <f t="shared" si="56"/>
        <v>2549.6</v>
      </c>
      <c r="Q37" s="33">
        <f t="shared" si="56"/>
        <v>2582.1999999999998</v>
      </c>
      <c r="R37" s="34">
        <f t="shared" si="56"/>
        <v>2668.2</v>
      </c>
      <c r="S37" s="32">
        <f t="shared" si="56"/>
        <v>2666.2999999999997</v>
      </c>
      <c r="T37" s="33">
        <f t="shared" si="56"/>
        <v>2868.9</v>
      </c>
      <c r="U37" s="33">
        <f t="shared" si="56"/>
        <v>2873.5</v>
      </c>
      <c r="V37" s="34">
        <f t="shared" si="56"/>
        <v>2909.2</v>
      </c>
      <c r="W37" s="32">
        <f t="shared" si="56"/>
        <v>1249.3000000000002</v>
      </c>
      <c r="X37" s="33">
        <f t="shared" si="56"/>
        <v>1377.8000000000002</v>
      </c>
      <c r="Y37" s="33">
        <f t="shared" si="56"/>
        <v>1525.8999999999996</v>
      </c>
      <c r="Z37" s="34">
        <f t="shared" si="56"/>
        <v>1645.9999999999998</v>
      </c>
      <c r="AA37" s="32">
        <f t="shared" si="56"/>
        <v>1406.0999999999997</v>
      </c>
      <c r="AB37" s="33">
        <f t="shared" si="56"/>
        <v>1422.1000000000001</v>
      </c>
      <c r="AC37" s="33">
        <f t="shared" ref="AC37:AH37" si="57">AC30+AC33+AC34+AC36</f>
        <v>1531.2</v>
      </c>
      <c r="AD37" s="34">
        <f t="shared" si="57"/>
        <v>1568.8999999999999</v>
      </c>
      <c r="AE37" s="32">
        <f t="shared" si="57"/>
        <v>1546.3999999999996</v>
      </c>
      <c r="AF37" s="33">
        <f t="shared" si="57"/>
        <v>1734.7</v>
      </c>
      <c r="AG37" s="33">
        <f t="shared" si="57"/>
        <v>1781.3000000000002</v>
      </c>
      <c r="AH37" s="34">
        <f t="shared" si="57"/>
        <v>1870.2999999999997</v>
      </c>
      <c r="AI37" s="33">
        <f>AI30+AI33+AI34+AI36</f>
        <v>1751.3999999999999</v>
      </c>
      <c r="AJ37" s="33">
        <f>AJ30+AJ33+AJ34+AJ36</f>
        <v>2198.3000000000002</v>
      </c>
      <c r="AK37" s="33">
        <f>AK30+AK33+AK34+AK36</f>
        <v>2017.8</v>
      </c>
      <c r="AL37" s="34">
        <f t="shared" ref="AL37:AT37" si="58">AL30+AL33+AL34+AL36+AL35</f>
        <v>2510.6999999999998</v>
      </c>
      <c r="AM37" s="33">
        <f t="shared" si="58"/>
        <v>2307.6999999999998</v>
      </c>
      <c r="AN37" s="33">
        <f t="shared" si="58"/>
        <v>2336.4</v>
      </c>
      <c r="AO37" s="33">
        <f t="shared" si="58"/>
        <v>2066.3000000000002</v>
      </c>
      <c r="AP37" s="34">
        <f t="shared" si="58"/>
        <v>2348.2999999999997</v>
      </c>
      <c r="AQ37" s="33">
        <f t="shared" si="58"/>
        <v>2374.3999999999996</v>
      </c>
      <c r="AR37" s="33">
        <f t="shared" si="58"/>
        <v>2526.1999999999998</v>
      </c>
      <c r="AS37" s="33">
        <f t="shared" si="58"/>
        <v>2449.1</v>
      </c>
      <c r="AT37" s="33">
        <f t="shared" si="58"/>
        <v>2936</v>
      </c>
    </row>
    <row r="38" spans="1:46" s="172" customFormat="1" ht="11.25">
      <c r="A38" s="26" t="s">
        <v>246</v>
      </c>
      <c r="B38" s="26" t="s">
        <v>79</v>
      </c>
      <c r="C38" s="27">
        <f t="shared" ref="C38:X38" si="59">SUM(C39:C40)</f>
        <v>-7.6</v>
      </c>
      <c r="D38" s="28">
        <f t="shared" si="59"/>
        <v>-4.7</v>
      </c>
      <c r="E38" s="28">
        <f t="shared" si="59"/>
        <v>-4.5</v>
      </c>
      <c r="F38" s="28">
        <f t="shared" si="59"/>
        <v>-5.8</v>
      </c>
      <c r="G38" s="27">
        <f t="shared" si="59"/>
        <v>-5.7</v>
      </c>
      <c r="H38" s="28">
        <f t="shared" si="59"/>
        <v>-3.6</v>
      </c>
      <c r="I38" s="28">
        <f t="shared" si="59"/>
        <v>-3.2</v>
      </c>
      <c r="J38" s="29">
        <f t="shared" si="59"/>
        <v>-2</v>
      </c>
      <c r="K38" s="27">
        <f t="shared" si="59"/>
        <v>-2.1</v>
      </c>
      <c r="L38" s="28">
        <f t="shared" si="59"/>
        <v>-1.8</v>
      </c>
      <c r="M38" s="28">
        <f t="shared" si="59"/>
        <v>-2.2000000000000002</v>
      </c>
      <c r="N38" s="29">
        <f t="shared" si="59"/>
        <v>-1.8</v>
      </c>
      <c r="O38" s="27">
        <f t="shared" si="59"/>
        <v>-1.7</v>
      </c>
      <c r="P38" s="28">
        <f t="shared" si="59"/>
        <v>-1.7</v>
      </c>
      <c r="Q38" s="28">
        <f t="shared" si="59"/>
        <v>-2.1</v>
      </c>
      <c r="R38" s="29">
        <f t="shared" si="59"/>
        <v>-1.9</v>
      </c>
      <c r="S38" s="27">
        <f t="shared" si="59"/>
        <v>-1.4</v>
      </c>
      <c r="T38" s="28">
        <f t="shared" si="59"/>
        <v>-0.2</v>
      </c>
      <c r="U38" s="28">
        <f t="shared" si="59"/>
        <v>-0.3</v>
      </c>
      <c r="V38" s="29">
        <f t="shared" si="59"/>
        <v>-0.3</v>
      </c>
      <c r="W38" s="27">
        <f t="shared" si="59"/>
        <v>-0.4</v>
      </c>
      <c r="X38" s="28">
        <f t="shared" si="59"/>
        <v>-0.7</v>
      </c>
      <c r="Y38" s="28">
        <f t="shared" ref="Y38:AD38" si="60">SUM(Y39:Y40)</f>
        <v>-0.4</v>
      </c>
      <c r="Z38" s="29">
        <f t="shared" si="60"/>
        <v>-0.6</v>
      </c>
      <c r="AA38" s="27">
        <f t="shared" si="60"/>
        <v>-0.2</v>
      </c>
      <c r="AB38" s="28">
        <f t="shared" si="60"/>
        <v>-0.3</v>
      </c>
      <c r="AC38" s="28">
        <f t="shared" si="60"/>
        <v>-0.2</v>
      </c>
      <c r="AD38" s="29">
        <f t="shared" si="60"/>
        <v>-0.8</v>
      </c>
      <c r="AE38" s="27">
        <f t="shared" ref="AE38:AJ38" si="61">SUM(AE39:AE40)</f>
        <v>-2.2999999999999998</v>
      </c>
      <c r="AF38" s="28">
        <f t="shared" si="61"/>
        <v>-1.5</v>
      </c>
      <c r="AG38" s="28">
        <f t="shared" si="61"/>
        <v>-0.9</v>
      </c>
      <c r="AH38" s="29">
        <f t="shared" si="61"/>
        <v>-1.2000000000000002</v>
      </c>
      <c r="AI38" s="28">
        <f t="shared" si="61"/>
        <v>-0.7</v>
      </c>
      <c r="AJ38" s="28">
        <f t="shared" si="61"/>
        <v>-0.9</v>
      </c>
      <c r="AK38" s="28">
        <f t="shared" ref="AK38:AT38" si="62">SUM(AK39:AK40)</f>
        <v>-0.6</v>
      </c>
      <c r="AL38" s="29">
        <f t="shared" si="62"/>
        <v>-0.7</v>
      </c>
      <c r="AM38" s="28">
        <f t="shared" si="62"/>
        <v>-1.1000000000000001</v>
      </c>
      <c r="AN38" s="28">
        <f t="shared" si="62"/>
        <v>-0.6</v>
      </c>
      <c r="AO38" s="28">
        <f t="shared" si="62"/>
        <v>-0.9</v>
      </c>
      <c r="AP38" s="29">
        <f t="shared" si="62"/>
        <v>-1</v>
      </c>
      <c r="AQ38" s="28">
        <f t="shared" si="62"/>
        <v>-0.79999999999999993</v>
      </c>
      <c r="AR38" s="28">
        <f t="shared" si="62"/>
        <v>-0.79999999999999993</v>
      </c>
      <c r="AS38" s="28">
        <f t="shared" si="62"/>
        <v>-0.9</v>
      </c>
      <c r="AT38" s="28">
        <f t="shared" si="62"/>
        <v>-1</v>
      </c>
    </row>
    <row r="39" spans="1:46" s="173" customFormat="1" ht="11.25">
      <c r="A39" s="125" t="s">
        <v>247</v>
      </c>
      <c r="B39" s="125" t="s">
        <v>80</v>
      </c>
      <c r="C39" s="47">
        <v>-7.6</v>
      </c>
      <c r="D39" s="48">
        <v>-4.7</v>
      </c>
      <c r="E39" s="48">
        <v>-4.5</v>
      </c>
      <c r="F39" s="48">
        <v>-5.8</v>
      </c>
      <c r="G39" s="47">
        <v>-5.7</v>
      </c>
      <c r="H39" s="48">
        <v>-3.6</v>
      </c>
      <c r="I39" s="48">
        <v>-3.2</v>
      </c>
      <c r="J39" s="49">
        <v>-2</v>
      </c>
      <c r="K39" s="47">
        <v>-2.1</v>
      </c>
      <c r="L39" s="48">
        <v>-1.8</v>
      </c>
      <c r="M39" s="48">
        <v>-2.2000000000000002</v>
      </c>
      <c r="N39" s="49">
        <v>-1.8</v>
      </c>
      <c r="O39" s="47">
        <v>-1.7</v>
      </c>
      <c r="P39" s="48">
        <v>-1.7</v>
      </c>
      <c r="Q39" s="48">
        <v>-2.1</v>
      </c>
      <c r="R39" s="49">
        <v>-1.9</v>
      </c>
      <c r="S39" s="47">
        <v>-1.4</v>
      </c>
      <c r="T39" s="48">
        <v>-0.2</v>
      </c>
      <c r="U39" s="48">
        <v>-0.3</v>
      </c>
      <c r="V39" s="49">
        <v>-0.3</v>
      </c>
      <c r="W39" s="47">
        <v>-0.4</v>
      </c>
      <c r="X39" s="48">
        <v>-0.7</v>
      </c>
      <c r="Y39" s="48">
        <v>-0.4</v>
      </c>
      <c r="Z39" s="49">
        <v>-0.6</v>
      </c>
      <c r="AA39" s="47">
        <v>-0.2</v>
      </c>
      <c r="AB39" s="48">
        <v>-0.3</v>
      </c>
      <c r="AC39" s="48">
        <v>-0.2</v>
      </c>
      <c r="AD39" s="49">
        <v>-0.8</v>
      </c>
      <c r="AE39" s="47">
        <v>-2.2999999999999998</v>
      </c>
      <c r="AF39" s="48">
        <v>-1.5</v>
      </c>
      <c r="AG39" s="48">
        <v>-0.9</v>
      </c>
      <c r="AH39" s="49">
        <v>-1.2000000000000002</v>
      </c>
      <c r="AI39" s="48">
        <v>-0.7</v>
      </c>
      <c r="AJ39" s="48">
        <v>-0.9</v>
      </c>
      <c r="AK39" s="48">
        <v>-0.6</v>
      </c>
      <c r="AL39" s="49">
        <v>-0.6</v>
      </c>
      <c r="AM39" s="48">
        <v>-1</v>
      </c>
      <c r="AN39" s="48">
        <v>-0.5</v>
      </c>
      <c r="AO39" s="48">
        <v>-0.8</v>
      </c>
      <c r="AP39" s="49">
        <v>-0.9</v>
      </c>
      <c r="AQ39" s="48">
        <v>-0.7</v>
      </c>
      <c r="AR39" s="48">
        <v>-0.7</v>
      </c>
      <c r="AS39" s="48">
        <v>-0.8</v>
      </c>
      <c r="AT39" s="49">
        <v>-0.9</v>
      </c>
    </row>
    <row r="40" spans="1:46" s="173" customFormat="1" ht="11.25">
      <c r="A40" s="125" t="s">
        <v>522</v>
      </c>
      <c r="B40" s="125" t="s">
        <v>513</v>
      </c>
      <c r="C40" s="47">
        <v>0</v>
      </c>
      <c r="D40" s="48">
        <v>0</v>
      </c>
      <c r="E40" s="48">
        <v>0</v>
      </c>
      <c r="F40" s="48">
        <v>0</v>
      </c>
      <c r="G40" s="47">
        <v>0</v>
      </c>
      <c r="H40" s="48">
        <v>0</v>
      </c>
      <c r="I40" s="48">
        <v>0</v>
      </c>
      <c r="J40" s="49">
        <v>0</v>
      </c>
      <c r="K40" s="47">
        <v>0</v>
      </c>
      <c r="L40" s="48">
        <v>0</v>
      </c>
      <c r="M40" s="48">
        <v>0</v>
      </c>
      <c r="N40" s="49">
        <v>0</v>
      </c>
      <c r="O40" s="47">
        <v>0</v>
      </c>
      <c r="P40" s="48">
        <v>0</v>
      </c>
      <c r="Q40" s="48">
        <v>0</v>
      </c>
      <c r="R40" s="49">
        <v>0</v>
      </c>
      <c r="S40" s="47">
        <v>0</v>
      </c>
      <c r="T40" s="48">
        <v>0</v>
      </c>
      <c r="U40" s="48">
        <v>0</v>
      </c>
      <c r="V40" s="49">
        <v>0</v>
      </c>
      <c r="W40" s="47">
        <v>0</v>
      </c>
      <c r="X40" s="48">
        <v>0</v>
      </c>
      <c r="Y40" s="48">
        <v>0</v>
      </c>
      <c r="Z40" s="49">
        <v>0</v>
      </c>
      <c r="AA40" s="47">
        <v>0</v>
      </c>
      <c r="AB40" s="48">
        <v>0</v>
      </c>
      <c r="AC40" s="48">
        <v>0</v>
      </c>
      <c r="AD40" s="49">
        <v>0</v>
      </c>
      <c r="AE40" s="47">
        <v>0</v>
      </c>
      <c r="AF40" s="48">
        <v>0</v>
      </c>
      <c r="AG40" s="48">
        <v>0</v>
      </c>
      <c r="AH40" s="49">
        <v>0</v>
      </c>
      <c r="AI40" s="48">
        <v>0</v>
      </c>
      <c r="AJ40" s="48">
        <v>0</v>
      </c>
      <c r="AK40" s="48">
        <v>0</v>
      </c>
      <c r="AL40" s="49">
        <v>-0.1</v>
      </c>
      <c r="AM40" s="48">
        <v>-0.1</v>
      </c>
      <c r="AN40" s="48">
        <v>-0.1</v>
      </c>
      <c r="AO40" s="48">
        <v>-0.1</v>
      </c>
      <c r="AP40" s="49">
        <v>-0.1</v>
      </c>
      <c r="AQ40" s="48">
        <v>-0.1</v>
      </c>
      <c r="AR40" s="48">
        <v>-0.1</v>
      </c>
      <c r="AS40" s="48">
        <v>-0.1</v>
      </c>
      <c r="AT40" s="49">
        <v>-0.1</v>
      </c>
    </row>
    <row r="41" spans="1:46" s="176" customFormat="1" ht="11.25">
      <c r="A41" s="51" t="s">
        <v>255</v>
      </c>
      <c r="B41" s="51" t="s">
        <v>87</v>
      </c>
      <c r="C41" s="37">
        <f t="shared" ref="C41:X41" si="63">C37+C38</f>
        <v>2250.1000000000004</v>
      </c>
      <c r="D41" s="38">
        <f t="shared" si="63"/>
        <v>2122.5</v>
      </c>
      <c r="E41" s="38">
        <f t="shared" si="63"/>
        <v>2125.6999999999998</v>
      </c>
      <c r="F41" s="38">
        <f t="shared" si="63"/>
        <v>2336.7999999999997</v>
      </c>
      <c r="G41" s="37">
        <f t="shared" si="63"/>
        <v>2551.2000000000003</v>
      </c>
      <c r="H41" s="38">
        <f t="shared" si="63"/>
        <v>2702.2</v>
      </c>
      <c r="I41" s="38">
        <f t="shared" si="63"/>
        <v>3069.0000000000005</v>
      </c>
      <c r="J41" s="39">
        <f t="shared" si="63"/>
        <v>3021.2999999999997</v>
      </c>
      <c r="K41" s="37">
        <f t="shared" si="63"/>
        <v>2968.2000000000003</v>
      </c>
      <c r="L41" s="38">
        <f t="shared" si="63"/>
        <v>2833.2999999999997</v>
      </c>
      <c r="M41" s="38">
        <f t="shared" si="63"/>
        <v>2809.5000000000005</v>
      </c>
      <c r="N41" s="39">
        <f t="shared" si="63"/>
        <v>2695.2</v>
      </c>
      <c r="O41" s="37">
        <f t="shared" si="63"/>
        <v>2513</v>
      </c>
      <c r="P41" s="38">
        <f t="shared" si="63"/>
        <v>2547.9</v>
      </c>
      <c r="Q41" s="38">
        <f t="shared" si="63"/>
        <v>2580.1</v>
      </c>
      <c r="R41" s="39">
        <f t="shared" si="63"/>
        <v>2666.2999999999997</v>
      </c>
      <c r="S41" s="37">
        <f t="shared" si="63"/>
        <v>2664.8999999999996</v>
      </c>
      <c r="T41" s="38">
        <f t="shared" si="63"/>
        <v>2868.7000000000003</v>
      </c>
      <c r="U41" s="38">
        <f t="shared" si="63"/>
        <v>2873.2</v>
      </c>
      <c r="V41" s="39">
        <f t="shared" si="63"/>
        <v>2908.8999999999996</v>
      </c>
      <c r="W41" s="37">
        <f t="shared" si="63"/>
        <v>1248.9000000000001</v>
      </c>
      <c r="X41" s="38">
        <f t="shared" si="63"/>
        <v>1377.1000000000001</v>
      </c>
      <c r="Y41" s="38">
        <f t="shared" ref="Y41:AD41" si="64">Y37+Y38</f>
        <v>1525.4999999999995</v>
      </c>
      <c r="Z41" s="39">
        <f t="shared" si="64"/>
        <v>1645.3999999999999</v>
      </c>
      <c r="AA41" s="37">
        <f t="shared" si="64"/>
        <v>1405.8999999999996</v>
      </c>
      <c r="AB41" s="38">
        <f t="shared" si="64"/>
        <v>1421.8000000000002</v>
      </c>
      <c r="AC41" s="38">
        <f t="shared" si="64"/>
        <v>1531</v>
      </c>
      <c r="AD41" s="39">
        <f t="shared" si="64"/>
        <v>1568.1</v>
      </c>
      <c r="AE41" s="37">
        <f t="shared" ref="AE41:AJ41" si="65">AE37+AE38</f>
        <v>1544.0999999999997</v>
      </c>
      <c r="AF41" s="38">
        <f t="shared" si="65"/>
        <v>1733.2</v>
      </c>
      <c r="AG41" s="38">
        <f t="shared" si="65"/>
        <v>1780.4</v>
      </c>
      <c r="AH41" s="39">
        <f t="shared" si="65"/>
        <v>1869.0999999999997</v>
      </c>
      <c r="AI41" s="38">
        <f t="shared" si="65"/>
        <v>1750.6999999999998</v>
      </c>
      <c r="AJ41" s="38">
        <f t="shared" si="65"/>
        <v>2197.4</v>
      </c>
      <c r="AK41" s="38">
        <f t="shared" ref="AK41:AT41" si="66">AK37+AK38</f>
        <v>2017.2</v>
      </c>
      <c r="AL41" s="39">
        <f t="shared" si="66"/>
        <v>2510</v>
      </c>
      <c r="AM41" s="38">
        <f t="shared" si="66"/>
        <v>2306.6</v>
      </c>
      <c r="AN41" s="38">
        <f t="shared" si="66"/>
        <v>2335.8000000000002</v>
      </c>
      <c r="AO41" s="38">
        <f t="shared" si="66"/>
        <v>2065.4</v>
      </c>
      <c r="AP41" s="39">
        <f t="shared" si="66"/>
        <v>2347.2999999999997</v>
      </c>
      <c r="AQ41" s="38">
        <f t="shared" si="66"/>
        <v>2373.5999999999995</v>
      </c>
      <c r="AR41" s="38">
        <f t="shared" si="66"/>
        <v>2525.3999999999996</v>
      </c>
      <c r="AS41" s="38">
        <f t="shared" si="66"/>
        <v>2448.1999999999998</v>
      </c>
      <c r="AT41" s="38">
        <f t="shared" si="66"/>
        <v>2935</v>
      </c>
    </row>
    <row r="42" spans="1:46" s="172" customFormat="1" ht="11.25">
      <c r="A42" s="186"/>
      <c r="B42" s="186"/>
      <c r="C42" s="27"/>
      <c r="D42" s="28"/>
      <c r="E42" s="28"/>
      <c r="F42" s="28"/>
      <c r="G42" s="27"/>
      <c r="H42" s="28"/>
      <c r="I42" s="28"/>
      <c r="J42" s="29"/>
      <c r="K42" s="27"/>
      <c r="L42" s="28"/>
      <c r="M42" s="28"/>
      <c r="N42" s="29"/>
      <c r="O42" s="27"/>
      <c r="P42" s="28"/>
      <c r="Q42" s="28"/>
      <c r="R42" s="29"/>
      <c r="S42" s="27"/>
      <c r="T42" s="28"/>
      <c r="U42" s="28"/>
      <c r="V42" s="29"/>
      <c r="W42" s="27"/>
      <c r="X42" s="28"/>
      <c r="Y42" s="28"/>
      <c r="Z42" s="29"/>
      <c r="AA42" s="27"/>
      <c r="AB42" s="28"/>
      <c r="AC42" s="28"/>
      <c r="AD42" s="29"/>
      <c r="AE42" s="27"/>
      <c r="AF42" s="28"/>
      <c r="AG42" s="28"/>
      <c r="AH42" s="29"/>
      <c r="AI42" s="28"/>
      <c r="AJ42" s="28"/>
      <c r="AK42" s="28"/>
      <c r="AL42" s="29"/>
      <c r="AM42" s="28"/>
      <c r="AN42" s="28"/>
      <c r="AO42" s="28"/>
      <c r="AP42" s="29"/>
      <c r="AQ42" s="28"/>
      <c r="AR42" s="28"/>
      <c r="AS42" s="28"/>
      <c r="AT42" s="29"/>
    </row>
    <row r="43" spans="1:46" s="172" customFormat="1" ht="11.25">
      <c r="A43" s="54" t="s">
        <v>256</v>
      </c>
      <c r="B43" s="54" t="s">
        <v>88</v>
      </c>
      <c r="C43" s="27"/>
      <c r="D43" s="28"/>
      <c r="E43" s="28"/>
      <c r="F43" s="28"/>
      <c r="G43" s="27"/>
      <c r="H43" s="28"/>
      <c r="I43" s="28"/>
      <c r="J43" s="29"/>
      <c r="K43" s="27"/>
      <c r="L43" s="28"/>
      <c r="M43" s="28"/>
      <c r="N43" s="29"/>
      <c r="O43" s="27"/>
      <c r="P43" s="28"/>
      <c r="Q43" s="28"/>
      <c r="R43" s="29"/>
      <c r="S43" s="27"/>
      <c r="T43" s="28"/>
      <c r="U43" s="28"/>
      <c r="V43" s="29"/>
      <c r="W43" s="27"/>
      <c r="X43" s="28"/>
      <c r="Y43" s="28"/>
      <c r="Z43" s="29"/>
      <c r="AA43" s="27"/>
      <c r="AB43" s="28"/>
      <c r="AC43" s="28"/>
      <c r="AD43" s="29"/>
      <c r="AE43" s="27"/>
      <c r="AF43" s="28"/>
      <c r="AG43" s="28"/>
      <c r="AH43" s="29"/>
      <c r="AI43" s="28"/>
      <c r="AJ43" s="28"/>
      <c r="AK43" s="28"/>
      <c r="AL43" s="29"/>
      <c r="AM43" s="28"/>
      <c r="AN43" s="28"/>
      <c r="AO43" s="28"/>
      <c r="AP43" s="29"/>
      <c r="AQ43" s="28"/>
      <c r="AR43" s="28"/>
      <c r="AS43" s="28"/>
      <c r="AT43" s="29"/>
    </row>
    <row r="44" spans="1:46" s="172" customFormat="1" ht="11.25">
      <c r="A44" s="26"/>
      <c r="B44" s="26"/>
      <c r="C44" s="27"/>
      <c r="D44" s="28"/>
      <c r="E44" s="28"/>
      <c r="F44" s="28"/>
      <c r="G44" s="27"/>
      <c r="H44" s="28"/>
      <c r="I44" s="28"/>
      <c r="J44" s="29"/>
      <c r="K44" s="27"/>
      <c r="L44" s="28"/>
      <c r="M44" s="28"/>
      <c r="N44" s="29"/>
      <c r="O44" s="27"/>
      <c r="P44" s="28"/>
      <c r="Q44" s="28"/>
      <c r="R44" s="29"/>
      <c r="S44" s="27"/>
      <c r="T44" s="28"/>
      <c r="U44" s="28"/>
      <c r="V44" s="29"/>
      <c r="W44" s="27"/>
      <c r="X44" s="28"/>
      <c r="Y44" s="28"/>
      <c r="Z44" s="29"/>
      <c r="AA44" s="27"/>
      <c r="AB44" s="28"/>
      <c r="AC44" s="28"/>
      <c r="AD44" s="29"/>
      <c r="AE44" s="27"/>
      <c r="AF44" s="28"/>
      <c r="AG44" s="28"/>
      <c r="AH44" s="29"/>
      <c r="AI44" s="28"/>
      <c r="AJ44" s="28"/>
      <c r="AK44" s="28"/>
      <c r="AL44" s="29"/>
      <c r="AM44" s="28"/>
      <c r="AN44" s="28"/>
      <c r="AO44" s="28"/>
      <c r="AP44" s="29"/>
      <c r="AQ44" s="28"/>
      <c r="AR44" s="28"/>
      <c r="AS44" s="28"/>
      <c r="AT44" s="29"/>
    </row>
    <row r="45" spans="1:46" s="175" customFormat="1" ht="11.25">
      <c r="A45" s="45" t="s">
        <v>457</v>
      </c>
      <c r="B45" s="45" t="s">
        <v>427</v>
      </c>
      <c r="C45" s="71">
        <f>SUM(C46,C49:C52)</f>
        <v>7760.7000000000007</v>
      </c>
      <c r="D45" s="72">
        <f t="shared" ref="D45:AD45" si="67">SUM(D46,D49:D52)</f>
        <v>8279.4000000000015</v>
      </c>
      <c r="E45" s="72">
        <f t="shared" si="67"/>
        <v>8634.4000000000015</v>
      </c>
      <c r="F45" s="72">
        <f t="shared" si="67"/>
        <v>8962.7999999999993</v>
      </c>
      <c r="G45" s="71">
        <f t="shared" si="67"/>
        <v>10012.800000000001</v>
      </c>
      <c r="H45" s="72">
        <f t="shared" si="67"/>
        <v>10660.499999999998</v>
      </c>
      <c r="I45" s="72">
        <f t="shared" si="67"/>
        <v>11965.9</v>
      </c>
      <c r="J45" s="73">
        <f t="shared" si="67"/>
        <v>12908.1</v>
      </c>
      <c r="K45" s="71">
        <f t="shared" si="67"/>
        <v>13534</v>
      </c>
      <c r="L45" s="72">
        <f t="shared" si="67"/>
        <v>13234.2</v>
      </c>
      <c r="M45" s="72">
        <f t="shared" si="67"/>
        <v>12873.8</v>
      </c>
      <c r="N45" s="73">
        <f t="shared" si="67"/>
        <v>12421.5</v>
      </c>
      <c r="O45" s="71">
        <f t="shared" si="67"/>
        <v>12353.699999999999</v>
      </c>
      <c r="P45" s="72">
        <f t="shared" si="67"/>
        <v>12726.800000000001</v>
      </c>
      <c r="Q45" s="72">
        <f t="shared" si="67"/>
        <v>13683</v>
      </c>
      <c r="R45" s="73">
        <f t="shared" si="67"/>
        <v>13674.5</v>
      </c>
      <c r="S45" s="71">
        <f t="shared" si="67"/>
        <v>13933.3</v>
      </c>
      <c r="T45" s="72">
        <f t="shared" si="67"/>
        <v>14792.199999999999</v>
      </c>
      <c r="U45" s="72">
        <f t="shared" si="67"/>
        <v>15971.399999999998</v>
      </c>
      <c r="V45" s="73">
        <f t="shared" si="67"/>
        <v>17432.399999999998</v>
      </c>
      <c r="W45" s="71">
        <f t="shared" si="67"/>
        <v>24312.6</v>
      </c>
      <c r="X45" s="72">
        <f t="shared" si="67"/>
        <v>24402.6</v>
      </c>
      <c r="Y45" s="72">
        <f t="shared" si="67"/>
        <v>24740.799999999996</v>
      </c>
      <c r="Z45" s="73">
        <f t="shared" si="67"/>
        <v>24052.9</v>
      </c>
      <c r="AA45" s="71">
        <f t="shared" si="67"/>
        <v>24203.5</v>
      </c>
      <c r="AB45" s="72">
        <f t="shared" si="67"/>
        <v>25026.400000000001</v>
      </c>
      <c r="AC45" s="72">
        <f t="shared" si="67"/>
        <v>25993.399999999998</v>
      </c>
      <c r="AD45" s="73">
        <f t="shared" si="67"/>
        <v>25951</v>
      </c>
      <c r="AE45" s="71">
        <f t="shared" ref="AE45:AJ45" si="68">SUM(AE46,AE49:AE52)</f>
        <v>27636.400000000001</v>
      </c>
      <c r="AF45" s="72">
        <f t="shared" si="68"/>
        <v>29345.300000000007</v>
      </c>
      <c r="AG45" s="72">
        <f t="shared" si="68"/>
        <v>30902.3</v>
      </c>
      <c r="AH45" s="73">
        <f t="shared" si="68"/>
        <v>30267.999999999996</v>
      </c>
      <c r="AI45" s="72">
        <f t="shared" si="68"/>
        <v>31630.500000000007</v>
      </c>
      <c r="AJ45" s="72">
        <f t="shared" si="68"/>
        <v>34327.199999999997</v>
      </c>
      <c r="AK45" s="72">
        <f t="shared" ref="AK45:AT45" si="69">SUM(AK46,AK49:AK52)</f>
        <v>36599.199999999997</v>
      </c>
      <c r="AL45" s="73">
        <f t="shared" si="69"/>
        <v>35998.300000000003</v>
      </c>
      <c r="AM45" s="72">
        <f t="shared" si="69"/>
        <v>37657.400000000009</v>
      </c>
      <c r="AN45" s="72">
        <f t="shared" si="69"/>
        <v>38686.9</v>
      </c>
      <c r="AO45" s="72">
        <f t="shared" si="69"/>
        <v>39999.4</v>
      </c>
      <c r="AP45" s="73">
        <f t="shared" si="69"/>
        <v>40321</v>
      </c>
      <c r="AQ45" s="72">
        <f t="shared" si="69"/>
        <v>41779.100000000006</v>
      </c>
      <c r="AR45" s="72">
        <f t="shared" si="69"/>
        <v>42851.6</v>
      </c>
      <c r="AS45" s="72">
        <f t="shared" si="69"/>
        <v>44443.299999999996</v>
      </c>
      <c r="AT45" s="72">
        <f t="shared" si="69"/>
        <v>43651.1</v>
      </c>
    </row>
    <row r="46" spans="1:46" s="172" customFormat="1" ht="11.25">
      <c r="A46" s="26" t="s">
        <v>463</v>
      </c>
      <c r="B46" s="26" t="s">
        <v>432</v>
      </c>
      <c r="C46" s="61">
        <f>SUM(C47:C48)</f>
        <v>7497.0000000000009</v>
      </c>
      <c r="D46" s="62">
        <f t="shared" ref="D46:X46" si="70">SUM(D47:D48)</f>
        <v>8001</v>
      </c>
      <c r="E46" s="62">
        <f t="shared" si="70"/>
        <v>8387.9</v>
      </c>
      <c r="F46" s="62">
        <f t="shared" si="70"/>
        <v>8783.0999999999985</v>
      </c>
      <c r="G46" s="61">
        <f t="shared" si="70"/>
        <v>9812.4000000000015</v>
      </c>
      <c r="H46" s="62">
        <f t="shared" si="70"/>
        <v>10462.799999999999</v>
      </c>
      <c r="I46" s="62">
        <f t="shared" si="70"/>
        <v>11713</v>
      </c>
      <c r="J46" s="70">
        <f t="shared" si="70"/>
        <v>12153.3</v>
      </c>
      <c r="K46" s="61">
        <f t="shared" si="70"/>
        <v>12665.2</v>
      </c>
      <c r="L46" s="62">
        <f t="shared" si="70"/>
        <v>12407.6</v>
      </c>
      <c r="M46" s="62">
        <f t="shared" si="70"/>
        <v>12236.599999999999</v>
      </c>
      <c r="N46" s="70">
        <f t="shared" si="70"/>
        <v>11871.9</v>
      </c>
      <c r="O46" s="61">
        <f t="shared" si="70"/>
        <v>11873.9</v>
      </c>
      <c r="P46" s="62">
        <f t="shared" si="70"/>
        <v>12198</v>
      </c>
      <c r="Q46" s="62">
        <f t="shared" si="70"/>
        <v>12939.7</v>
      </c>
      <c r="R46" s="70">
        <f t="shared" si="70"/>
        <v>12851.2</v>
      </c>
      <c r="S46" s="61">
        <f t="shared" si="70"/>
        <v>13210.5</v>
      </c>
      <c r="T46" s="62">
        <f t="shared" si="70"/>
        <v>14014.4</v>
      </c>
      <c r="U46" s="62">
        <f t="shared" si="70"/>
        <v>14868.3</v>
      </c>
      <c r="V46" s="70">
        <f t="shared" si="70"/>
        <v>15714.1</v>
      </c>
      <c r="W46" s="61">
        <f t="shared" si="70"/>
        <v>18068.3</v>
      </c>
      <c r="X46" s="62">
        <f t="shared" si="70"/>
        <v>18113.099999999999</v>
      </c>
      <c r="Y46" s="62">
        <f t="shared" ref="Y46:AD46" si="71">SUM(Y47:Y48)</f>
        <v>18187.899999999998</v>
      </c>
      <c r="Z46" s="70">
        <f t="shared" si="71"/>
        <v>17364</v>
      </c>
      <c r="AA46" s="61">
        <f t="shared" si="71"/>
        <v>18067.599999999999</v>
      </c>
      <c r="AB46" s="62">
        <f t="shared" si="71"/>
        <v>18288.400000000001</v>
      </c>
      <c r="AC46" s="62">
        <f t="shared" si="71"/>
        <v>18870.2</v>
      </c>
      <c r="AD46" s="70">
        <f t="shared" si="71"/>
        <v>18761.5</v>
      </c>
      <c r="AE46" s="61">
        <f t="shared" ref="AE46:AJ46" si="72">SUM(AE47:AE48)</f>
        <v>20498.800000000003</v>
      </c>
      <c r="AF46" s="62">
        <f t="shared" si="72"/>
        <v>21596.300000000003</v>
      </c>
      <c r="AG46" s="62">
        <f t="shared" si="72"/>
        <v>22086</v>
      </c>
      <c r="AH46" s="70">
        <f t="shared" si="72"/>
        <v>21870.5</v>
      </c>
      <c r="AI46" s="62">
        <f t="shared" si="72"/>
        <v>23515.800000000003</v>
      </c>
      <c r="AJ46" s="62">
        <f t="shared" si="72"/>
        <v>25748.699999999997</v>
      </c>
      <c r="AK46" s="62">
        <f>SUM(AK47:AK48)</f>
        <v>27429.3</v>
      </c>
      <c r="AL46" s="70">
        <f>SUM(AL47:AL48)</f>
        <v>26884.800000000003</v>
      </c>
      <c r="AM46" s="62">
        <f>SUM(AM47:AM48)</f>
        <v>28659.800000000003</v>
      </c>
      <c r="AN46" s="62">
        <f>SUM(AN47:AN48)</f>
        <v>29117.7</v>
      </c>
      <c r="AO46" s="62">
        <v>30118.1</v>
      </c>
      <c r="AP46" s="70">
        <v>30245.8</v>
      </c>
      <c r="AQ46" s="62">
        <v>31553.4</v>
      </c>
      <c r="AR46" s="62">
        <v>32424.5</v>
      </c>
      <c r="AS46" s="62">
        <v>33983.1</v>
      </c>
      <c r="AT46" s="70">
        <v>33161</v>
      </c>
    </row>
    <row r="47" spans="1:46" s="173" customFormat="1" ht="11.25">
      <c r="A47" s="185" t="s">
        <v>458</v>
      </c>
      <c r="B47" s="185" t="s">
        <v>85</v>
      </c>
      <c r="C47" s="81">
        <v>2902.5</v>
      </c>
      <c r="D47" s="82">
        <v>3044.2</v>
      </c>
      <c r="E47" s="82">
        <v>3151.5</v>
      </c>
      <c r="F47" s="82">
        <v>3104.3</v>
      </c>
      <c r="G47" s="81">
        <v>3716</v>
      </c>
      <c r="H47" s="82">
        <v>4006.5</v>
      </c>
      <c r="I47" s="82">
        <v>4328.8999999999996</v>
      </c>
      <c r="J47" s="83">
        <v>3931.5</v>
      </c>
      <c r="K47" s="81">
        <v>4269</v>
      </c>
      <c r="L47" s="82">
        <v>4301</v>
      </c>
      <c r="M47" s="82">
        <v>4001.9</v>
      </c>
      <c r="N47" s="83">
        <v>3504.5</v>
      </c>
      <c r="O47" s="81">
        <v>3713.8</v>
      </c>
      <c r="P47" s="82">
        <v>3930.5</v>
      </c>
      <c r="Q47" s="82">
        <v>4036.5</v>
      </c>
      <c r="R47" s="83">
        <v>3724.3</v>
      </c>
      <c r="S47" s="81">
        <v>4031.2</v>
      </c>
      <c r="T47" s="82">
        <v>4490.6000000000004</v>
      </c>
      <c r="U47" s="82">
        <v>4624</v>
      </c>
      <c r="V47" s="83">
        <v>4316.1000000000004</v>
      </c>
      <c r="W47" s="81">
        <v>5179.3</v>
      </c>
      <c r="X47" s="82">
        <v>5409.3</v>
      </c>
      <c r="Y47" s="82">
        <v>5440.7</v>
      </c>
      <c r="Z47" s="83">
        <v>4978.3</v>
      </c>
      <c r="AA47" s="81">
        <v>5169.5</v>
      </c>
      <c r="AB47" s="82">
        <v>5223</v>
      </c>
      <c r="AC47" s="82">
        <v>5612.6</v>
      </c>
      <c r="AD47" s="83">
        <v>5223</v>
      </c>
      <c r="AE47" s="81">
        <v>6031.1</v>
      </c>
      <c r="AF47" s="82">
        <v>6192.6</v>
      </c>
      <c r="AG47" s="82">
        <v>6139.8</v>
      </c>
      <c r="AH47" s="83">
        <v>5724.2</v>
      </c>
      <c r="AI47" s="82">
        <v>6596.1</v>
      </c>
      <c r="AJ47" s="82">
        <v>7085.4</v>
      </c>
      <c r="AK47" s="82">
        <v>7564.3</v>
      </c>
      <c r="AL47" s="83">
        <v>6999.9</v>
      </c>
      <c r="AM47" s="82">
        <v>7764.9</v>
      </c>
      <c r="AN47" s="82">
        <v>7844.8</v>
      </c>
      <c r="AO47" s="82">
        <v>7765.9</v>
      </c>
      <c r="AP47" s="83">
        <v>6964.2</v>
      </c>
      <c r="AQ47" s="82">
        <v>8521.7999999999993</v>
      </c>
      <c r="AR47" s="82">
        <v>8689.5</v>
      </c>
      <c r="AS47" s="82">
        <v>9116.1</v>
      </c>
      <c r="AT47" s="83">
        <v>8455.6</v>
      </c>
    </row>
    <row r="48" spans="1:46" s="173" customFormat="1" ht="11.25">
      <c r="A48" s="185" t="s">
        <v>459</v>
      </c>
      <c r="B48" s="185" t="s">
        <v>86</v>
      </c>
      <c r="C48" s="81">
        <f>4736.6+24.1-24.2-142</f>
        <v>4594.5000000000009</v>
      </c>
      <c r="D48" s="82">
        <f>5101.5+19-20.9-142.8</f>
        <v>4956.8</v>
      </c>
      <c r="E48" s="82">
        <f>5353.9+24.4-24.7-117.2</f>
        <v>5236.3999999999996</v>
      </c>
      <c r="F48" s="82">
        <f>5801.4-122.6</f>
        <v>5678.7999999999993</v>
      </c>
      <c r="G48" s="81">
        <f>6219.3-122.9</f>
        <v>6096.4000000000005</v>
      </c>
      <c r="H48" s="82">
        <f>6585.1-128.8</f>
        <v>6456.3</v>
      </c>
      <c r="I48" s="82">
        <f>7552.9-168.8</f>
        <v>7384.0999999999995</v>
      </c>
      <c r="J48" s="83">
        <f>8380.5-158.7</f>
        <v>8221.7999999999993</v>
      </c>
      <c r="K48" s="81">
        <f>8661.6-265.4</f>
        <v>8396.2000000000007</v>
      </c>
      <c r="L48" s="82">
        <f>8356.6-250</f>
        <v>8106.6</v>
      </c>
      <c r="M48" s="82">
        <f>8407.4-172.7</f>
        <v>8234.6999999999989</v>
      </c>
      <c r="N48" s="83">
        <f>8537.8-170.4</f>
        <v>8367.4</v>
      </c>
      <c r="O48" s="81">
        <f>8297.4-137.3</f>
        <v>8160.0999999999995</v>
      </c>
      <c r="P48" s="82">
        <f>8432.1-164.6</f>
        <v>8267.5</v>
      </c>
      <c r="Q48" s="82">
        <f>9055-151.8</f>
        <v>8903.2000000000007</v>
      </c>
      <c r="R48" s="83">
        <f>9126.9</f>
        <v>9126.9</v>
      </c>
      <c r="S48" s="81">
        <v>9179.3000000000011</v>
      </c>
      <c r="T48" s="82">
        <v>9523.7999999999993</v>
      </c>
      <c r="U48" s="82">
        <v>10244.299999999999</v>
      </c>
      <c r="V48" s="83">
        <v>11398</v>
      </c>
      <c r="W48" s="81">
        <v>12889</v>
      </c>
      <c r="X48" s="82">
        <v>12703.8</v>
      </c>
      <c r="Y48" s="82">
        <v>12747.199999999999</v>
      </c>
      <c r="Z48" s="83">
        <v>12385.7</v>
      </c>
      <c r="AA48" s="81">
        <v>12898.099999999999</v>
      </c>
      <c r="AB48" s="82">
        <v>13065.4</v>
      </c>
      <c r="AC48" s="82">
        <v>13257.6</v>
      </c>
      <c r="AD48" s="83">
        <v>13538.499999999998</v>
      </c>
      <c r="AE48" s="81">
        <v>14467.7</v>
      </c>
      <c r="AF48" s="82">
        <v>15403.7</v>
      </c>
      <c r="AG48" s="82">
        <v>15946.2</v>
      </c>
      <c r="AH48" s="83">
        <v>16146.300000000001</v>
      </c>
      <c r="AI48" s="82">
        <v>16919.7</v>
      </c>
      <c r="AJ48" s="82">
        <v>18663.3</v>
      </c>
      <c r="AK48" s="82">
        <v>19865</v>
      </c>
      <c r="AL48" s="83">
        <v>19884.900000000001</v>
      </c>
      <c r="AM48" s="82">
        <v>20894.900000000001</v>
      </c>
      <c r="AN48" s="82">
        <v>21272.9</v>
      </c>
      <c r="AO48" s="82">
        <v>22352.2</v>
      </c>
      <c r="AP48" s="83">
        <v>23281.599999999999</v>
      </c>
      <c r="AQ48" s="82">
        <v>23031.599999999999</v>
      </c>
      <c r="AR48" s="82">
        <v>23735</v>
      </c>
      <c r="AS48" s="82">
        <v>24867</v>
      </c>
      <c r="AT48" s="83">
        <v>24705.4</v>
      </c>
    </row>
    <row r="49" spans="1:46" s="172" customFormat="1" ht="11.25">
      <c r="A49" s="26" t="s">
        <v>448</v>
      </c>
      <c r="B49" s="26" t="s">
        <v>433</v>
      </c>
      <c r="C49" s="61">
        <v>0</v>
      </c>
      <c r="D49" s="62">
        <v>0</v>
      </c>
      <c r="E49" s="62">
        <v>0</v>
      </c>
      <c r="F49" s="62">
        <v>0</v>
      </c>
      <c r="G49" s="61">
        <v>0</v>
      </c>
      <c r="H49" s="62">
        <v>0</v>
      </c>
      <c r="I49" s="62">
        <v>0</v>
      </c>
      <c r="J49" s="70">
        <v>0</v>
      </c>
      <c r="K49" s="61">
        <v>0</v>
      </c>
      <c r="L49" s="62">
        <v>0</v>
      </c>
      <c r="M49" s="62">
        <v>0</v>
      </c>
      <c r="N49" s="70">
        <v>0</v>
      </c>
      <c r="O49" s="61">
        <v>0</v>
      </c>
      <c r="P49" s="62">
        <v>0</v>
      </c>
      <c r="Q49" s="62">
        <v>0</v>
      </c>
      <c r="R49" s="70">
        <v>0</v>
      </c>
      <c r="S49" s="61">
        <v>0</v>
      </c>
      <c r="T49" s="62">
        <v>0</v>
      </c>
      <c r="U49" s="62">
        <v>0</v>
      </c>
      <c r="V49" s="70">
        <v>0</v>
      </c>
      <c r="W49" s="61">
        <v>2898.1</v>
      </c>
      <c r="X49" s="62">
        <v>2922.1</v>
      </c>
      <c r="Y49" s="62">
        <v>3054.7999999999997</v>
      </c>
      <c r="Z49" s="70">
        <v>3132.8</v>
      </c>
      <c r="AA49" s="61">
        <v>3151.4</v>
      </c>
      <c r="AB49" s="62">
        <v>3276.4</v>
      </c>
      <c r="AC49" s="62">
        <v>3395</v>
      </c>
      <c r="AD49" s="70">
        <v>3509.9</v>
      </c>
      <c r="AE49" s="61">
        <v>3537.3</v>
      </c>
      <c r="AF49" s="62">
        <v>3886.4</v>
      </c>
      <c r="AG49" s="62">
        <v>3932.2</v>
      </c>
      <c r="AH49" s="70">
        <v>3972.8</v>
      </c>
      <c r="AI49" s="62">
        <v>3907.9</v>
      </c>
      <c r="AJ49" s="62">
        <v>4154.8</v>
      </c>
      <c r="AK49" s="62">
        <v>4270.7</v>
      </c>
      <c r="AL49" s="70">
        <v>4319.5</v>
      </c>
      <c r="AM49" s="62">
        <v>4399.3999999999996</v>
      </c>
      <c r="AN49" s="62">
        <v>4759.6000000000004</v>
      </c>
      <c r="AO49" s="62">
        <v>4772.5</v>
      </c>
      <c r="AP49" s="70">
        <v>4903.3999999999996</v>
      </c>
      <c r="AQ49" s="62">
        <v>4925.1000000000004</v>
      </c>
      <c r="AR49" s="62">
        <v>5169.5</v>
      </c>
      <c r="AS49" s="62">
        <v>5329.9</v>
      </c>
      <c r="AT49" s="70">
        <v>5476.5</v>
      </c>
    </row>
    <row r="50" spans="1:46" s="172" customFormat="1" ht="11.25">
      <c r="A50" s="26" t="s">
        <v>449</v>
      </c>
      <c r="B50" s="26" t="s">
        <v>434</v>
      </c>
      <c r="C50" s="61">
        <v>142</v>
      </c>
      <c r="D50" s="62">
        <v>142.80000000000001</v>
      </c>
      <c r="E50" s="62">
        <v>117.2</v>
      </c>
      <c r="F50" s="62">
        <v>122.6</v>
      </c>
      <c r="G50" s="61">
        <v>122.9</v>
      </c>
      <c r="H50" s="62">
        <v>128.80000000000001</v>
      </c>
      <c r="I50" s="62">
        <v>168.8</v>
      </c>
      <c r="J50" s="70">
        <v>158.69999999999999</v>
      </c>
      <c r="K50" s="61">
        <v>265.39999999999998</v>
      </c>
      <c r="L50" s="62">
        <v>250</v>
      </c>
      <c r="M50" s="62">
        <v>172.7</v>
      </c>
      <c r="N50" s="70">
        <v>170.4</v>
      </c>
      <c r="O50" s="61">
        <v>137.30000000000001</v>
      </c>
      <c r="P50" s="62">
        <v>164.6</v>
      </c>
      <c r="Q50" s="62">
        <v>151.80000000000001</v>
      </c>
      <c r="R50" s="70">
        <v>112.8</v>
      </c>
      <c r="S50" s="61">
        <v>99.4</v>
      </c>
      <c r="T50" s="62">
        <v>183</v>
      </c>
      <c r="U50" s="62">
        <v>264.3</v>
      </c>
      <c r="V50" s="70">
        <v>255.1</v>
      </c>
      <c r="W50" s="61">
        <v>1837.5</v>
      </c>
      <c r="X50" s="62">
        <v>2063.1</v>
      </c>
      <c r="Y50" s="62">
        <v>1982</v>
      </c>
      <c r="Z50" s="70">
        <v>2168.1999999999998</v>
      </c>
      <c r="AA50" s="61">
        <v>1928.4</v>
      </c>
      <c r="AB50" s="62">
        <v>2194.6000000000004</v>
      </c>
      <c r="AC50" s="62">
        <v>2408.3999999999996</v>
      </c>
      <c r="AD50" s="70">
        <v>2416.5</v>
      </c>
      <c r="AE50" s="61">
        <v>2314.5</v>
      </c>
      <c r="AF50" s="62">
        <v>2565.0000000000005</v>
      </c>
      <c r="AG50" s="62">
        <v>2811.1</v>
      </c>
      <c r="AH50" s="70">
        <v>2746</v>
      </c>
      <c r="AI50" s="62">
        <v>2484.5000000000005</v>
      </c>
      <c r="AJ50" s="62">
        <v>2733.3</v>
      </c>
      <c r="AK50" s="62">
        <v>3047.7</v>
      </c>
      <c r="AL50" s="70">
        <v>3279.8</v>
      </c>
      <c r="AM50" s="62">
        <v>3297.3</v>
      </c>
      <c r="AN50" s="62">
        <v>3916.7</v>
      </c>
      <c r="AO50" s="62">
        <v>4163.3999999999996</v>
      </c>
      <c r="AP50" s="70">
        <v>4208.5</v>
      </c>
      <c r="AQ50" s="62">
        <v>4401.3</v>
      </c>
      <c r="AR50" s="62">
        <v>4497.8999999999996</v>
      </c>
      <c r="AS50" s="62">
        <v>4353.7</v>
      </c>
      <c r="AT50" s="70">
        <v>4239.7</v>
      </c>
    </row>
    <row r="51" spans="1:46" s="172" customFormat="1" ht="11.25">
      <c r="A51" s="26" t="s">
        <v>523</v>
      </c>
      <c r="B51" s="187" t="s">
        <v>516</v>
      </c>
      <c r="C51" s="61">
        <v>108.5</v>
      </c>
      <c r="D51" s="62">
        <f>101.4</f>
        <v>101.4</v>
      </c>
      <c r="E51" s="62">
        <v>96.6</v>
      </c>
      <c r="F51" s="62">
        <v>13.5</v>
      </c>
      <c r="G51" s="61">
        <v>13.5</v>
      </c>
      <c r="H51" s="62">
        <v>13.5</v>
      </c>
      <c r="I51" s="62">
        <v>13.5</v>
      </c>
      <c r="J51" s="70">
        <v>559.4</v>
      </c>
      <c r="K51" s="61">
        <v>552.29999999999995</v>
      </c>
      <c r="L51" s="62">
        <v>534</v>
      </c>
      <c r="M51" s="62">
        <v>440.5</v>
      </c>
      <c r="N51" s="70">
        <v>306.5</v>
      </c>
      <c r="O51" s="61">
        <v>304.3</v>
      </c>
      <c r="P51" s="62">
        <v>306.7</v>
      </c>
      <c r="Q51" s="62">
        <v>566.5</v>
      </c>
      <c r="R51" s="70">
        <v>646.6</v>
      </c>
      <c r="S51" s="61">
        <v>584.79999999999995</v>
      </c>
      <c r="T51" s="62">
        <v>537.5</v>
      </c>
      <c r="U51" s="62">
        <v>800.8</v>
      </c>
      <c r="V51" s="70">
        <v>1446.1</v>
      </c>
      <c r="W51" s="61">
        <v>1493</v>
      </c>
      <c r="X51" s="62">
        <v>1289.9000000000001</v>
      </c>
      <c r="Y51" s="62">
        <v>1472.5</v>
      </c>
      <c r="Z51" s="70">
        <v>1376</v>
      </c>
      <c r="AA51" s="61">
        <v>1042.3</v>
      </c>
      <c r="AB51" s="62">
        <v>1238.5</v>
      </c>
      <c r="AC51" s="62">
        <v>1302.5999999999999</v>
      </c>
      <c r="AD51" s="70">
        <v>1244.8</v>
      </c>
      <c r="AE51" s="61">
        <v>1269.5</v>
      </c>
      <c r="AF51" s="62">
        <v>1276.7</v>
      </c>
      <c r="AG51" s="62">
        <v>1840</v>
      </c>
      <c r="AH51" s="70">
        <v>1664.1</v>
      </c>
      <c r="AI51" s="62">
        <v>1695.9</v>
      </c>
      <c r="AJ51" s="62">
        <v>1679.3</v>
      </c>
      <c r="AK51" s="62">
        <v>1839</v>
      </c>
      <c r="AL51" s="70">
        <v>1502</v>
      </c>
      <c r="AM51" s="62">
        <v>1287.8</v>
      </c>
      <c r="AN51" s="62">
        <v>887.6</v>
      </c>
      <c r="AO51" s="62">
        <v>939.8</v>
      </c>
      <c r="AP51" s="70">
        <v>956.3</v>
      </c>
      <c r="AQ51" s="62">
        <v>889.4</v>
      </c>
      <c r="AR51" s="62">
        <v>752.6</v>
      </c>
      <c r="AS51" s="62">
        <v>765.2</v>
      </c>
      <c r="AT51" s="70">
        <v>762.5</v>
      </c>
    </row>
    <row r="52" spans="1:46" s="172" customFormat="1" ht="11.25">
      <c r="A52" s="26" t="s">
        <v>464</v>
      </c>
      <c r="B52" s="26" t="s">
        <v>435</v>
      </c>
      <c r="C52" s="61">
        <v>13.199999999999989</v>
      </c>
      <c r="D52" s="62">
        <v>34.200000000000003</v>
      </c>
      <c r="E52" s="62">
        <v>32.700000000000003</v>
      </c>
      <c r="F52" s="62">
        <v>43.6</v>
      </c>
      <c r="G52" s="61">
        <v>64</v>
      </c>
      <c r="H52" s="62">
        <v>55.4</v>
      </c>
      <c r="I52" s="62">
        <v>70.600000000000009</v>
      </c>
      <c r="J52" s="70">
        <v>36.700000000000003</v>
      </c>
      <c r="K52" s="61">
        <v>51.1</v>
      </c>
      <c r="L52" s="62">
        <v>42.599999999999994</v>
      </c>
      <c r="M52" s="62">
        <v>24</v>
      </c>
      <c r="N52" s="70">
        <v>72.7</v>
      </c>
      <c r="O52" s="61">
        <v>38.200000000000003</v>
      </c>
      <c r="P52" s="62">
        <v>57.5</v>
      </c>
      <c r="Q52" s="62">
        <v>25</v>
      </c>
      <c r="R52" s="70">
        <v>63.9</v>
      </c>
      <c r="S52" s="61">
        <v>38.599999999999994</v>
      </c>
      <c r="T52" s="62">
        <v>57.300000000000004</v>
      </c>
      <c r="U52" s="62">
        <v>38</v>
      </c>
      <c r="V52" s="70">
        <v>17.100000000000001</v>
      </c>
      <c r="W52" s="61">
        <v>15.7</v>
      </c>
      <c r="X52" s="62">
        <v>14.4</v>
      </c>
      <c r="Y52" s="62">
        <v>43.599999999999994</v>
      </c>
      <c r="Z52" s="70">
        <v>11.9</v>
      </c>
      <c r="AA52" s="61">
        <v>13.8</v>
      </c>
      <c r="AB52" s="62">
        <v>28.5</v>
      </c>
      <c r="AC52" s="62">
        <v>17.200000000000003</v>
      </c>
      <c r="AD52" s="70">
        <v>18.299999999999997</v>
      </c>
      <c r="AE52" s="61">
        <v>16.3</v>
      </c>
      <c r="AF52" s="62">
        <v>20.9</v>
      </c>
      <c r="AG52" s="62">
        <v>233</v>
      </c>
      <c r="AH52" s="70">
        <v>14.600000000000001</v>
      </c>
      <c r="AI52" s="62">
        <v>26.400000000000002</v>
      </c>
      <c r="AJ52" s="62">
        <v>11.1</v>
      </c>
      <c r="AK52" s="62">
        <v>12.5</v>
      </c>
      <c r="AL52" s="70">
        <v>12.2</v>
      </c>
      <c r="AM52" s="62">
        <v>13.1</v>
      </c>
      <c r="AN52" s="62">
        <v>5.3</v>
      </c>
      <c r="AO52" s="62">
        <v>5.6</v>
      </c>
      <c r="AP52" s="70">
        <v>7</v>
      </c>
      <c r="AQ52" s="62">
        <v>9.9</v>
      </c>
      <c r="AR52" s="62">
        <v>7.1</v>
      </c>
      <c r="AS52" s="62">
        <v>11.4</v>
      </c>
      <c r="AT52" s="70">
        <v>11.4</v>
      </c>
    </row>
    <row r="53" spans="1:46" s="175" customFormat="1" ht="11.25">
      <c r="A53" s="45" t="s">
        <v>460</v>
      </c>
      <c r="B53" s="45" t="s">
        <v>430</v>
      </c>
      <c r="C53" s="71">
        <f>SUM(C54,C57:C59)</f>
        <v>3807.8999999999996</v>
      </c>
      <c r="D53" s="72">
        <f t="shared" ref="D53:AD53" si="73">SUM(D54,D57:D59)</f>
        <v>4182.9000000000005</v>
      </c>
      <c r="E53" s="72">
        <f t="shared" si="73"/>
        <v>4627.8999999999996</v>
      </c>
      <c r="F53" s="72">
        <f t="shared" si="73"/>
        <v>4937.8999999999996</v>
      </c>
      <c r="G53" s="71">
        <f t="shared" si="73"/>
        <v>5373.5</v>
      </c>
      <c r="H53" s="72">
        <f t="shared" si="73"/>
        <v>5931.5</v>
      </c>
      <c r="I53" s="72">
        <f t="shared" si="73"/>
        <v>6603.6</v>
      </c>
      <c r="J53" s="73">
        <f t="shared" si="73"/>
        <v>7446.4999999999991</v>
      </c>
      <c r="K53" s="71">
        <f t="shared" si="73"/>
        <v>8253.1</v>
      </c>
      <c r="L53" s="72">
        <f t="shared" si="73"/>
        <v>8827.9</v>
      </c>
      <c r="M53" s="72">
        <f t="shared" si="73"/>
        <v>9336.9</v>
      </c>
      <c r="N53" s="73">
        <f t="shared" si="73"/>
        <v>9822.7999999999993</v>
      </c>
      <c r="O53" s="71">
        <f t="shared" si="73"/>
        <v>10282.6</v>
      </c>
      <c r="P53" s="72">
        <f t="shared" si="73"/>
        <v>11110.7</v>
      </c>
      <c r="Q53" s="72">
        <f t="shared" si="73"/>
        <v>11647.300000000001</v>
      </c>
      <c r="R53" s="73">
        <f t="shared" si="73"/>
        <v>12631.3</v>
      </c>
      <c r="S53" s="71">
        <f t="shared" si="73"/>
        <v>13278</v>
      </c>
      <c r="T53" s="72">
        <f t="shared" si="73"/>
        <v>14035</v>
      </c>
      <c r="U53" s="72">
        <f t="shared" si="73"/>
        <v>14804.8</v>
      </c>
      <c r="V53" s="73">
        <f t="shared" si="73"/>
        <v>15315.699999999999</v>
      </c>
      <c r="W53" s="71">
        <f t="shared" si="73"/>
        <v>15619.9</v>
      </c>
      <c r="X53" s="72">
        <f t="shared" si="73"/>
        <v>16218.9</v>
      </c>
      <c r="Y53" s="72">
        <f t="shared" si="73"/>
        <v>16721.5</v>
      </c>
      <c r="Z53" s="73">
        <f t="shared" si="73"/>
        <v>17019.899999999998</v>
      </c>
      <c r="AA53" s="71">
        <f t="shared" si="73"/>
        <v>17329.699999999997</v>
      </c>
      <c r="AB53" s="72">
        <f t="shared" si="73"/>
        <v>18116.800000000003</v>
      </c>
      <c r="AC53" s="72">
        <f t="shared" si="73"/>
        <v>18766</v>
      </c>
      <c r="AD53" s="73">
        <f t="shared" si="73"/>
        <v>19015.899999999998</v>
      </c>
      <c r="AE53" s="71">
        <f t="shared" ref="AE53:AJ53" si="74">SUM(AE54,AE57:AE59)</f>
        <v>19748.599999999999</v>
      </c>
      <c r="AF53" s="72">
        <f t="shared" si="74"/>
        <v>20601.800000000003</v>
      </c>
      <c r="AG53" s="72">
        <f t="shared" si="74"/>
        <v>21792.899999999998</v>
      </c>
      <c r="AH53" s="73">
        <f t="shared" si="74"/>
        <v>22916.199999999997</v>
      </c>
      <c r="AI53" s="72">
        <f t="shared" si="74"/>
        <v>24274.899999999998</v>
      </c>
      <c r="AJ53" s="72">
        <f t="shared" si="74"/>
        <v>25801.7</v>
      </c>
      <c r="AK53" s="72">
        <f t="shared" ref="AK53:AT53" si="75">SUM(AK54,AK57:AK59)</f>
        <v>26823</v>
      </c>
      <c r="AL53" s="73">
        <f t="shared" si="75"/>
        <v>27832</v>
      </c>
      <c r="AM53" s="72">
        <f t="shared" si="75"/>
        <v>29226.9</v>
      </c>
      <c r="AN53" s="72">
        <f t="shared" si="75"/>
        <v>31110.9</v>
      </c>
      <c r="AO53" s="72">
        <f t="shared" si="75"/>
        <v>32297.799999999996</v>
      </c>
      <c r="AP53" s="73">
        <f t="shared" si="75"/>
        <v>33450</v>
      </c>
      <c r="AQ53" s="72">
        <f t="shared" si="75"/>
        <v>34675.199999999997</v>
      </c>
      <c r="AR53" s="72">
        <f t="shared" si="75"/>
        <v>36236.000000000007</v>
      </c>
      <c r="AS53" s="72">
        <f t="shared" si="75"/>
        <v>38046.5</v>
      </c>
      <c r="AT53" s="72">
        <f t="shared" si="75"/>
        <v>39755.5</v>
      </c>
    </row>
    <row r="54" spans="1:46" s="172" customFormat="1" ht="11.25">
      <c r="A54" s="26" t="s">
        <v>463</v>
      </c>
      <c r="B54" s="26" t="s">
        <v>432</v>
      </c>
      <c r="C54" s="61">
        <f>SUM(C55:C56)</f>
        <v>3801.8999999999996</v>
      </c>
      <c r="D54" s="62">
        <f t="shared" ref="D54:X54" si="76">SUM(D55:D56)</f>
        <v>4176.4000000000005</v>
      </c>
      <c r="E54" s="62">
        <f t="shared" si="76"/>
        <v>4618.5999999999995</v>
      </c>
      <c r="F54" s="62">
        <f t="shared" si="76"/>
        <v>4930.8999999999996</v>
      </c>
      <c r="G54" s="61">
        <f t="shared" si="76"/>
        <v>5364.5</v>
      </c>
      <c r="H54" s="62">
        <f t="shared" si="76"/>
        <v>5925.4</v>
      </c>
      <c r="I54" s="62">
        <f t="shared" si="76"/>
        <v>6595.5</v>
      </c>
      <c r="J54" s="70">
        <f t="shared" si="76"/>
        <v>7441.1999999999989</v>
      </c>
      <c r="K54" s="61">
        <f t="shared" si="76"/>
        <v>8247.7000000000007</v>
      </c>
      <c r="L54" s="62">
        <f t="shared" si="76"/>
        <v>8823.1</v>
      </c>
      <c r="M54" s="62">
        <f t="shared" si="76"/>
        <v>9331.1</v>
      </c>
      <c r="N54" s="70">
        <f t="shared" si="76"/>
        <v>9817.5999999999985</v>
      </c>
      <c r="O54" s="61">
        <f t="shared" si="76"/>
        <v>10275.300000000001</v>
      </c>
      <c r="P54" s="62">
        <f t="shared" si="76"/>
        <v>11101.800000000001</v>
      </c>
      <c r="Q54" s="62">
        <f t="shared" si="76"/>
        <v>11637.7</v>
      </c>
      <c r="R54" s="70">
        <f t="shared" si="76"/>
        <v>12623.199999999999</v>
      </c>
      <c r="S54" s="61">
        <f t="shared" si="76"/>
        <v>13270.4</v>
      </c>
      <c r="T54" s="62">
        <f t="shared" si="76"/>
        <v>14019.5</v>
      </c>
      <c r="U54" s="62">
        <f t="shared" si="76"/>
        <v>14786.3</v>
      </c>
      <c r="V54" s="70">
        <f t="shared" si="76"/>
        <v>15297.199999999999</v>
      </c>
      <c r="W54" s="61">
        <f t="shared" si="76"/>
        <v>15567.4</v>
      </c>
      <c r="X54" s="62">
        <f t="shared" si="76"/>
        <v>16148.6</v>
      </c>
      <c r="Y54" s="62">
        <f t="shared" ref="Y54:AD54" si="77">SUM(Y55:Y56)</f>
        <v>16632.399999999998</v>
      </c>
      <c r="Z54" s="70">
        <f t="shared" si="77"/>
        <v>16910.099999999999</v>
      </c>
      <c r="AA54" s="61">
        <f t="shared" si="77"/>
        <v>17219</v>
      </c>
      <c r="AB54" s="62">
        <f t="shared" si="77"/>
        <v>17985.400000000001</v>
      </c>
      <c r="AC54" s="62">
        <f t="shared" si="77"/>
        <v>18601.900000000001</v>
      </c>
      <c r="AD54" s="70">
        <f t="shared" si="77"/>
        <v>18842.599999999999</v>
      </c>
      <c r="AE54" s="61">
        <f t="shared" ref="AE54:AJ54" si="78">SUM(AE55:AE56)</f>
        <v>19410</v>
      </c>
      <c r="AF54" s="62">
        <f t="shared" si="78"/>
        <v>20220.600000000002</v>
      </c>
      <c r="AG54" s="62">
        <f t="shared" si="78"/>
        <v>21377.399999999998</v>
      </c>
      <c r="AH54" s="70">
        <f t="shared" si="78"/>
        <v>22441</v>
      </c>
      <c r="AI54" s="62">
        <f t="shared" si="78"/>
        <v>23772.999999999996</v>
      </c>
      <c r="AJ54" s="62">
        <f t="shared" si="78"/>
        <v>25241.800000000003</v>
      </c>
      <c r="AK54" s="62">
        <f>SUM(AK55:AK56)</f>
        <v>26218.799999999999</v>
      </c>
      <c r="AL54" s="70">
        <f>SUM(AL55:AL56)</f>
        <v>27173.5</v>
      </c>
      <c r="AM54" s="62">
        <f>SUM(AM55:AM56)</f>
        <v>28514.799999999999</v>
      </c>
      <c r="AN54" s="62">
        <f>SUM(AN55:AN56)</f>
        <v>30328.1</v>
      </c>
      <c r="AO54" s="62">
        <v>31464.6</v>
      </c>
      <c r="AP54" s="70">
        <v>32513.5</v>
      </c>
      <c r="AQ54" s="62">
        <v>33747</v>
      </c>
      <c r="AR54" s="62">
        <v>35233.300000000003</v>
      </c>
      <c r="AS54" s="62">
        <v>36767.699999999997</v>
      </c>
      <c r="AT54" s="70">
        <v>38430.300000000003</v>
      </c>
    </row>
    <row r="55" spans="1:46" s="173" customFormat="1" ht="11.25">
      <c r="A55" s="185" t="s">
        <v>458</v>
      </c>
      <c r="B55" s="185" t="s">
        <v>85</v>
      </c>
      <c r="C55" s="81">
        <v>951.1</v>
      </c>
      <c r="D55" s="82">
        <v>997.6</v>
      </c>
      <c r="E55" s="82">
        <v>1014.1</v>
      </c>
      <c r="F55" s="82">
        <v>968.5</v>
      </c>
      <c r="G55" s="81">
        <v>1028.5</v>
      </c>
      <c r="H55" s="82">
        <v>1102.8</v>
      </c>
      <c r="I55" s="82">
        <v>1144.9000000000001</v>
      </c>
      <c r="J55" s="83">
        <v>1091.5999999999999</v>
      </c>
      <c r="K55" s="81">
        <v>1187.5</v>
      </c>
      <c r="L55" s="82">
        <v>1238.7</v>
      </c>
      <c r="M55" s="82">
        <v>1266.0999999999999</v>
      </c>
      <c r="N55" s="83">
        <v>1227</v>
      </c>
      <c r="O55" s="81">
        <v>1316.1</v>
      </c>
      <c r="P55" s="82">
        <v>1308</v>
      </c>
      <c r="Q55" s="82">
        <v>1354.2</v>
      </c>
      <c r="R55" s="83">
        <v>1255.8</v>
      </c>
      <c r="S55" s="81">
        <v>1341.8</v>
      </c>
      <c r="T55" s="82">
        <v>1356.8</v>
      </c>
      <c r="U55" s="82">
        <v>1341.5</v>
      </c>
      <c r="V55" s="83">
        <v>1311.3</v>
      </c>
      <c r="W55" s="81">
        <v>1367.8</v>
      </c>
      <c r="X55" s="82">
        <v>1410.3999999999999</v>
      </c>
      <c r="Y55" s="82">
        <v>1401.6</v>
      </c>
      <c r="Z55" s="83">
        <v>1379</v>
      </c>
      <c r="AA55" s="81">
        <v>1380.6</v>
      </c>
      <c r="AB55" s="82">
        <v>1414.4</v>
      </c>
      <c r="AC55" s="82">
        <v>1456.9</v>
      </c>
      <c r="AD55" s="83">
        <v>1435.5</v>
      </c>
      <c r="AE55" s="81">
        <v>1511.7</v>
      </c>
      <c r="AF55" s="82">
        <v>1549.4</v>
      </c>
      <c r="AG55" s="82">
        <v>1569.1999999999998</v>
      </c>
      <c r="AH55" s="83">
        <v>1542.6</v>
      </c>
      <c r="AI55" s="82">
        <v>1620.6</v>
      </c>
      <c r="AJ55" s="82">
        <v>1670.4</v>
      </c>
      <c r="AK55" s="82">
        <v>1682.6</v>
      </c>
      <c r="AL55" s="83">
        <v>1632.9</v>
      </c>
      <c r="AM55" s="82">
        <v>1753.6</v>
      </c>
      <c r="AN55" s="82">
        <v>1767</v>
      </c>
      <c r="AO55" s="82">
        <v>1792.9</v>
      </c>
      <c r="AP55" s="83">
        <v>1762.7</v>
      </c>
      <c r="AQ55" s="82">
        <v>1855</v>
      </c>
      <c r="AR55" s="82">
        <v>1925.8</v>
      </c>
      <c r="AS55" s="82">
        <v>2016</v>
      </c>
      <c r="AT55" s="83">
        <v>1948.8</v>
      </c>
    </row>
    <row r="56" spans="1:46" s="173" customFormat="1" ht="11.25">
      <c r="A56" s="185" t="s">
        <v>459</v>
      </c>
      <c r="B56" s="185" t="s">
        <v>86</v>
      </c>
      <c r="C56" s="81">
        <f>2832.6+24.2-6</f>
        <v>2850.7999999999997</v>
      </c>
      <c r="D56" s="82">
        <f>3164.4+20.9-6.5</f>
        <v>3178.8</v>
      </c>
      <c r="E56" s="82">
        <f>3589.1+24.7-9.3</f>
        <v>3604.4999999999995</v>
      </c>
      <c r="F56" s="82">
        <f>3969.4-7</f>
        <v>3962.4</v>
      </c>
      <c r="G56" s="81">
        <f>4345-9</f>
        <v>4336</v>
      </c>
      <c r="H56" s="82">
        <f>4828.7-6.1</f>
        <v>4822.5999999999995</v>
      </c>
      <c r="I56" s="82">
        <f>5458.7-8.1</f>
        <v>5450.5999999999995</v>
      </c>
      <c r="J56" s="83">
        <f>6354.9-5.3</f>
        <v>6349.5999999999995</v>
      </c>
      <c r="K56" s="81">
        <f>7065.6-5.4</f>
        <v>7060.2000000000007</v>
      </c>
      <c r="L56" s="82">
        <f>7589.2-4.8</f>
        <v>7584.4</v>
      </c>
      <c r="M56" s="82">
        <f>8070.8-5.8</f>
        <v>8065</v>
      </c>
      <c r="N56" s="83">
        <f>8595.8-5.2</f>
        <v>8590.5999999999985</v>
      </c>
      <c r="O56" s="81">
        <f>8966.5-7.3</f>
        <v>8959.2000000000007</v>
      </c>
      <c r="P56" s="82">
        <f>9802.2-8.4</f>
        <v>9793.8000000000011</v>
      </c>
      <c r="Q56" s="82">
        <f>10292.6-9.1</f>
        <v>10283.5</v>
      </c>
      <c r="R56" s="83">
        <v>11367.4</v>
      </c>
      <c r="S56" s="81">
        <v>11928.6</v>
      </c>
      <c r="T56" s="82">
        <v>12662.7</v>
      </c>
      <c r="U56" s="82">
        <v>13444.8</v>
      </c>
      <c r="V56" s="83">
        <v>13985.9</v>
      </c>
      <c r="W56" s="81">
        <v>14199.6</v>
      </c>
      <c r="X56" s="82">
        <v>14738.2</v>
      </c>
      <c r="Y56" s="82">
        <v>15230.8</v>
      </c>
      <c r="Z56" s="83">
        <v>15531.1</v>
      </c>
      <c r="AA56" s="81">
        <v>15838.4</v>
      </c>
      <c r="AB56" s="82">
        <v>16571</v>
      </c>
      <c r="AC56" s="82">
        <v>17145</v>
      </c>
      <c r="AD56" s="83">
        <v>17407.099999999999</v>
      </c>
      <c r="AE56" s="81">
        <v>17898.3</v>
      </c>
      <c r="AF56" s="82">
        <v>18671.2</v>
      </c>
      <c r="AG56" s="82">
        <v>19808.199999999997</v>
      </c>
      <c r="AH56" s="83">
        <v>20898.400000000001</v>
      </c>
      <c r="AI56" s="82">
        <v>22152.399999999998</v>
      </c>
      <c r="AJ56" s="82">
        <v>23571.4</v>
      </c>
      <c r="AK56" s="82">
        <v>24536.2</v>
      </c>
      <c r="AL56" s="83">
        <v>25540.6</v>
      </c>
      <c r="AM56" s="82">
        <v>26761.200000000001</v>
      </c>
      <c r="AN56" s="82">
        <v>28561.1</v>
      </c>
      <c r="AO56" s="82">
        <v>29671.7</v>
      </c>
      <c r="AP56" s="83">
        <v>30750.799999999999</v>
      </c>
      <c r="AQ56" s="82">
        <v>31892</v>
      </c>
      <c r="AR56" s="82">
        <v>33307.5</v>
      </c>
      <c r="AS56" s="82">
        <v>34751.699999999997</v>
      </c>
      <c r="AT56" s="83">
        <v>36481.5</v>
      </c>
    </row>
    <row r="57" spans="1:46" s="172" customFormat="1" ht="11.25">
      <c r="A57" s="26" t="s">
        <v>448</v>
      </c>
      <c r="B57" s="26" t="s">
        <v>433</v>
      </c>
      <c r="C57" s="61">
        <v>0</v>
      </c>
      <c r="D57" s="62">
        <v>0</v>
      </c>
      <c r="E57" s="62">
        <v>0</v>
      </c>
      <c r="F57" s="62">
        <v>0</v>
      </c>
      <c r="G57" s="61">
        <v>0</v>
      </c>
      <c r="H57" s="62">
        <v>0</v>
      </c>
      <c r="I57" s="62">
        <v>0</v>
      </c>
      <c r="J57" s="70">
        <v>0</v>
      </c>
      <c r="K57" s="61">
        <v>0</v>
      </c>
      <c r="L57" s="62">
        <v>0</v>
      </c>
      <c r="M57" s="62">
        <v>0</v>
      </c>
      <c r="N57" s="70">
        <v>0</v>
      </c>
      <c r="O57" s="61">
        <v>0</v>
      </c>
      <c r="P57" s="62">
        <v>0</v>
      </c>
      <c r="Q57" s="62">
        <v>0</v>
      </c>
      <c r="R57" s="70">
        <v>0</v>
      </c>
      <c r="S57" s="61">
        <v>0</v>
      </c>
      <c r="T57" s="62">
        <v>0</v>
      </c>
      <c r="U57" s="62">
        <v>0</v>
      </c>
      <c r="V57" s="70">
        <v>0</v>
      </c>
      <c r="W57" s="61">
        <v>32.6</v>
      </c>
      <c r="X57" s="62">
        <v>51.5</v>
      </c>
      <c r="Y57" s="62">
        <v>68.900000000000006</v>
      </c>
      <c r="Z57" s="70">
        <v>87.9</v>
      </c>
      <c r="AA57" s="61">
        <v>88.1</v>
      </c>
      <c r="AB57" s="62">
        <v>105.4</v>
      </c>
      <c r="AC57" s="62">
        <v>131</v>
      </c>
      <c r="AD57" s="70">
        <v>140.19999999999999</v>
      </c>
      <c r="AE57" s="61">
        <v>299</v>
      </c>
      <c r="AF57" s="62">
        <v>339.8</v>
      </c>
      <c r="AG57" s="62">
        <v>375.1</v>
      </c>
      <c r="AH57" s="70">
        <v>424.1</v>
      </c>
      <c r="AI57" s="62">
        <v>444.5</v>
      </c>
      <c r="AJ57" s="62">
        <v>499.6</v>
      </c>
      <c r="AK57" s="62">
        <v>546.29999999999995</v>
      </c>
      <c r="AL57" s="70">
        <v>601.9</v>
      </c>
      <c r="AM57" s="62">
        <v>666.4</v>
      </c>
      <c r="AN57" s="62">
        <v>732.9</v>
      </c>
      <c r="AO57" s="62">
        <v>782.6</v>
      </c>
      <c r="AP57" s="70">
        <v>856.5</v>
      </c>
      <c r="AQ57" s="62">
        <v>888.5</v>
      </c>
      <c r="AR57" s="62">
        <v>956.4</v>
      </c>
      <c r="AS57" s="62">
        <v>1025.8</v>
      </c>
      <c r="AT57" s="70">
        <v>1116.2</v>
      </c>
    </row>
    <row r="58" spans="1:46" s="172" customFormat="1" ht="11.25">
      <c r="A58" s="26" t="s">
        <v>449</v>
      </c>
      <c r="B58" s="26" t="s">
        <v>434</v>
      </c>
      <c r="C58" s="61">
        <v>6</v>
      </c>
      <c r="D58" s="62">
        <v>6.5</v>
      </c>
      <c r="E58" s="62">
        <v>9.3000000000000007</v>
      </c>
      <c r="F58" s="62">
        <v>7</v>
      </c>
      <c r="G58" s="61">
        <v>9</v>
      </c>
      <c r="H58" s="62">
        <v>6.1</v>
      </c>
      <c r="I58" s="62">
        <v>8.1</v>
      </c>
      <c r="J58" s="70">
        <v>5.3</v>
      </c>
      <c r="K58" s="61">
        <v>5.4</v>
      </c>
      <c r="L58" s="62">
        <v>4.8</v>
      </c>
      <c r="M58" s="62">
        <v>5.8</v>
      </c>
      <c r="N58" s="70">
        <v>5.2</v>
      </c>
      <c r="O58" s="61">
        <v>7.3</v>
      </c>
      <c r="P58" s="62">
        <v>8.4</v>
      </c>
      <c r="Q58" s="62">
        <v>9.1</v>
      </c>
      <c r="R58" s="70">
        <v>7.6</v>
      </c>
      <c r="S58" s="61">
        <v>7.1</v>
      </c>
      <c r="T58" s="62">
        <v>15</v>
      </c>
      <c r="U58" s="62">
        <v>18</v>
      </c>
      <c r="V58" s="70">
        <v>18</v>
      </c>
      <c r="W58" s="61">
        <v>16.899999999999999</v>
      </c>
      <c r="X58" s="62">
        <v>18.3</v>
      </c>
      <c r="Y58" s="62">
        <v>19</v>
      </c>
      <c r="Z58" s="70">
        <v>20.6</v>
      </c>
      <c r="AA58" s="61">
        <v>21.8</v>
      </c>
      <c r="AB58" s="62">
        <v>25.5</v>
      </c>
      <c r="AC58" s="62">
        <v>32.6</v>
      </c>
      <c r="AD58" s="70">
        <v>32.6</v>
      </c>
      <c r="AE58" s="61">
        <v>39.1</v>
      </c>
      <c r="AF58" s="62">
        <v>40.900000000000006</v>
      </c>
      <c r="AG58" s="62">
        <v>39.9</v>
      </c>
      <c r="AH58" s="70">
        <v>50.6</v>
      </c>
      <c r="AI58" s="62">
        <v>56.9</v>
      </c>
      <c r="AJ58" s="62">
        <v>59.8</v>
      </c>
      <c r="AK58" s="62">
        <v>57.4</v>
      </c>
      <c r="AL58" s="70">
        <v>56.1</v>
      </c>
      <c r="AM58" s="62">
        <v>45.2</v>
      </c>
      <c r="AN58" s="62">
        <v>49.4</v>
      </c>
      <c r="AO58" s="62">
        <v>50.1</v>
      </c>
      <c r="AP58" s="70">
        <v>80</v>
      </c>
      <c r="AQ58" s="62">
        <v>39.700000000000003</v>
      </c>
      <c r="AR58" s="62">
        <v>46.3</v>
      </c>
      <c r="AS58" s="62">
        <v>253</v>
      </c>
      <c r="AT58" s="70">
        <v>209</v>
      </c>
    </row>
    <row r="59" spans="1:46" s="172" customFormat="1" ht="11.25">
      <c r="A59" s="26" t="s">
        <v>464</v>
      </c>
      <c r="B59" s="26" t="s">
        <v>435</v>
      </c>
      <c r="C59" s="61">
        <v>0</v>
      </c>
      <c r="D59" s="62">
        <v>0</v>
      </c>
      <c r="E59" s="62">
        <v>0</v>
      </c>
      <c r="F59" s="62">
        <v>0</v>
      </c>
      <c r="G59" s="61">
        <v>0</v>
      </c>
      <c r="H59" s="62">
        <v>0</v>
      </c>
      <c r="I59" s="62">
        <v>0</v>
      </c>
      <c r="J59" s="70">
        <v>0</v>
      </c>
      <c r="K59" s="61">
        <v>0</v>
      </c>
      <c r="L59" s="62">
        <v>0</v>
      </c>
      <c r="M59" s="62">
        <v>0</v>
      </c>
      <c r="N59" s="70">
        <v>0</v>
      </c>
      <c r="O59" s="61">
        <v>0</v>
      </c>
      <c r="P59" s="62">
        <v>0.5</v>
      </c>
      <c r="Q59" s="62">
        <v>0.5</v>
      </c>
      <c r="R59" s="70">
        <v>0.5</v>
      </c>
      <c r="S59" s="61">
        <v>0.5</v>
      </c>
      <c r="T59" s="62">
        <v>0.5</v>
      </c>
      <c r="U59" s="62">
        <v>0.5</v>
      </c>
      <c r="V59" s="70">
        <v>0.5</v>
      </c>
      <c r="W59" s="61">
        <v>3</v>
      </c>
      <c r="X59" s="62">
        <v>0.5</v>
      </c>
      <c r="Y59" s="62">
        <v>1.2</v>
      </c>
      <c r="Z59" s="70">
        <v>1.3</v>
      </c>
      <c r="AA59" s="61">
        <v>0.8</v>
      </c>
      <c r="AB59" s="62">
        <v>0.5</v>
      </c>
      <c r="AC59" s="62">
        <v>0.5</v>
      </c>
      <c r="AD59" s="70">
        <v>0.5</v>
      </c>
      <c r="AE59" s="61">
        <v>0.5</v>
      </c>
      <c r="AF59" s="62">
        <v>0.5</v>
      </c>
      <c r="AG59" s="62">
        <v>0.5</v>
      </c>
      <c r="AH59" s="70">
        <v>0.5</v>
      </c>
      <c r="AI59" s="62">
        <v>0.5</v>
      </c>
      <c r="AJ59" s="62">
        <v>0.5</v>
      </c>
      <c r="AK59" s="62">
        <v>0.5</v>
      </c>
      <c r="AL59" s="70">
        <v>0.5</v>
      </c>
      <c r="AM59" s="62">
        <v>0.5</v>
      </c>
      <c r="AN59" s="62">
        <v>0.5</v>
      </c>
      <c r="AO59" s="62">
        <v>0.5</v>
      </c>
      <c r="AP59" s="70">
        <v>0</v>
      </c>
      <c r="AQ59" s="62">
        <v>0</v>
      </c>
      <c r="AR59" s="62">
        <v>0</v>
      </c>
      <c r="AS59" s="62">
        <v>0</v>
      </c>
      <c r="AT59" s="70">
        <v>0</v>
      </c>
    </row>
    <row r="60" spans="1:46" s="172" customFormat="1" ht="11.25">
      <c r="A60" s="45" t="s">
        <v>254</v>
      </c>
      <c r="B60" s="45" t="s">
        <v>78</v>
      </c>
      <c r="C60" s="71">
        <f>SUM(C45,C53)</f>
        <v>11568.6</v>
      </c>
      <c r="D60" s="72">
        <f t="shared" ref="D60:AD60" si="79">SUM(D45,D53)</f>
        <v>12462.300000000003</v>
      </c>
      <c r="E60" s="72">
        <f t="shared" si="79"/>
        <v>13262.300000000001</v>
      </c>
      <c r="F60" s="72">
        <f t="shared" si="79"/>
        <v>13900.699999999999</v>
      </c>
      <c r="G60" s="71">
        <f t="shared" si="79"/>
        <v>15386.300000000001</v>
      </c>
      <c r="H60" s="72">
        <f t="shared" si="79"/>
        <v>16592</v>
      </c>
      <c r="I60" s="72">
        <f t="shared" si="79"/>
        <v>18569.5</v>
      </c>
      <c r="J60" s="73">
        <f t="shared" si="79"/>
        <v>20354.599999999999</v>
      </c>
      <c r="K60" s="71">
        <f t="shared" si="79"/>
        <v>21787.1</v>
      </c>
      <c r="L60" s="72">
        <f t="shared" si="79"/>
        <v>22062.1</v>
      </c>
      <c r="M60" s="72">
        <f t="shared" si="79"/>
        <v>22210.699999999997</v>
      </c>
      <c r="N60" s="73">
        <f t="shared" si="79"/>
        <v>22244.3</v>
      </c>
      <c r="O60" s="71">
        <f t="shared" si="79"/>
        <v>22636.3</v>
      </c>
      <c r="P60" s="72">
        <f t="shared" si="79"/>
        <v>23837.5</v>
      </c>
      <c r="Q60" s="72">
        <f t="shared" si="79"/>
        <v>25330.300000000003</v>
      </c>
      <c r="R60" s="73">
        <f t="shared" si="79"/>
        <v>26305.8</v>
      </c>
      <c r="S60" s="71">
        <f t="shared" si="79"/>
        <v>27211.3</v>
      </c>
      <c r="T60" s="72">
        <f t="shared" si="79"/>
        <v>28827.199999999997</v>
      </c>
      <c r="U60" s="72">
        <f t="shared" si="79"/>
        <v>30776.199999999997</v>
      </c>
      <c r="V60" s="73">
        <f t="shared" si="79"/>
        <v>32748.1</v>
      </c>
      <c r="W60" s="71">
        <f t="shared" si="79"/>
        <v>39932.5</v>
      </c>
      <c r="X60" s="72">
        <f t="shared" si="79"/>
        <v>40621.5</v>
      </c>
      <c r="Y60" s="72">
        <f t="shared" si="79"/>
        <v>41462.299999999996</v>
      </c>
      <c r="Z60" s="73">
        <f t="shared" si="79"/>
        <v>41072.800000000003</v>
      </c>
      <c r="AA60" s="71">
        <f t="shared" si="79"/>
        <v>41533.199999999997</v>
      </c>
      <c r="AB60" s="72">
        <f t="shared" si="79"/>
        <v>43143.200000000004</v>
      </c>
      <c r="AC60" s="72">
        <f t="shared" si="79"/>
        <v>44759.399999999994</v>
      </c>
      <c r="AD60" s="73">
        <f t="shared" si="79"/>
        <v>44966.899999999994</v>
      </c>
      <c r="AE60" s="71">
        <f t="shared" ref="AE60:AJ60" si="80">SUM(AE45,AE53)</f>
        <v>47385</v>
      </c>
      <c r="AF60" s="72">
        <f t="shared" si="80"/>
        <v>49947.100000000006</v>
      </c>
      <c r="AG60" s="72">
        <f t="shared" si="80"/>
        <v>52695.199999999997</v>
      </c>
      <c r="AH60" s="73">
        <f t="shared" si="80"/>
        <v>53184.2</v>
      </c>
      <c r="AI60" s="72">
        <f t="shared" si="80"/>
        <v>55905.400000000009</v>
      </c>
      <c r="AJ60" s="72">
        <f t="shared" si="80"/>
        <v>60128.899999999994</v>
      </c>
      <c r="AK60" s="72">
        <f t="shared" ref="AK60:AT60" si="81">SUM(AK45,AK53)</f>
        <v>63422.2</v>
      </c>
      <c r="AL60" s="73">
        <f t="shared" si="81"/>
        <v>63830.3</v>
      </c>
      <c r="AM60" s="72">
        <f t="shared" si="81"/>
        <v>66884.300000000017</v>
      </c>
      <c r="AN60" s="72">
        <f t="shared" si="81"/>
        <v>69797.8</v>
      </c>
      <c r="AO60" s="72">
        <f t="shared" si="81"/>
        <v>72297.2</v>
      </c>
      <c r="AP60" s="73">
        <f t="shared" si="81"/>
        <v>73771</v>
      </c>
      <c r="AQ60" s="72">
        <f t="shared" si="81"/>
        <v>76454.3</v>
      </c>
      <c r="AR60" s="72">
        <f t="shared" si="81"/>
        <v>79087.600000000006</v>
      </c>
      <c r="AS60" s="72">
        <f t="shared" si="81"/>
        <v>82489.799999999988</v>
      </c>
      <c r="AT60" s="72">
        <f t="shared" si="81"/>
        <v>83406.600000000006</v>
      </c>
    </row>
    <row r="61" spans="1:46" s="172" customFormat="1" ht="11.25">
      <c r="A61" s="26" t="s">
        <v>246</v>
      </c>
      <c r="B61" s="26" t="s">
        <v>79</v>
      </c>
      <c r="C61" s="61">
        <f>SUM(C62,C68)</f>
        <v>-632.20000000000005</v>
      </c>
      <c r="D61" s="62">
        <f t="shared" ref="D61:AD61" si="82">SUM(D62,D68)</f>
        <v>-590.69999999999993</v>
      </c>
      <c r="E61" s="62">
        <f t="shared" si="82"/>
        <v>-521.79999999999995</v>
      </c>
      <c r="F61" s="62">
        <f t="shared" si="82"/>
        <v>-526.1</v>
      </c>
      <c r="G61" s="61">
        <f t="shared" si="82"/>
        <v>-539.20000000000005</v>
      </c>
      <c r="H61" s="62">
        <f t="shared" si="82"/>
        <v>-372.9</v>
      </c>
      <c r="I61" s="62">
        <f t="shared" si="82"/>
        <v>-393.6</v>
      </c>
      <c r="J61" s="70">
        <f t="shared" si="82"/>
        <v>-482.29999999999995</v>
      </c>
      <c r="K61" s="61">
        <f t="shared" si="82"/>
        <v>-654.1</v>
      </c>
      <c r="L61" s="62">
        <f t="shared" si="82"/>
        <v>-755.8</v>
      </c>
      <c r="M61" s="62">
        <f t="shared" si="82"/>
        <v>-804.9</v>
      </c>
      <c r="N61" s="70">
        <f t="shared" si="82"/>
        <v>-874.1</v>
      </c>
      <c r="O61" s="61">
        <f t="shared" si="82"/>
        <v>-930.90000000000009</v>
      </c>
      <c r="P61" s="62">
        <f t="shared" si="82"/>
        <v>-972.7</v>
      </c>
      <c r="Q61" s="62">
        <f t="shared" si="82"/>
        <v>-1037.9000000000001</v>
      </c>
      <c r="R61" s="70">
        <f t="shared" si="82"/>
        <v>-1082</v>
      </c>
      <c r="S61" s="61">
        <f t="shared" si="82"/>
        <v>-1122.7000000000003</v>
      </c>
      <c r="T61" s="62">
        <f t="shared" si="82"/>
        <v>-1140.6000000000001</v>
      </c>
      <c r="U61" s="62">
        <f t="shared" si="82"/>
        <v>-1182.7</v>
      </c>
      <c r="V61" s="70">
        <f t="shared" si="82"/>
        <v>-1112.3</v>
      </c>
      <c r="W61" s="61">
        <f t="shared" si="82"/>
        <v>-1194.9000000000001</v>
      </c>
      <c r="X61" s="62">
        <f t="shared" si="82"/>
        <v>-1289.6000000000001</v>
      </c>
      <c r="Y61" s="62">
        <f t="shared" si="82"/>
        <v>-1358.7</v>
      </c>
      <c r="Z61" s="70">
        <f t="shared" si="82"/>
        <v>-1427.8000000000002</v>
      </c>
      <c r="AA61" s="61">
        <f t="shared" si="82"/>
        <v>-1473.2000000000003</v>
      </c>
      <c r="AB61" s="62">
        <f t="shared" si="82"/>
        <v>-1573.8</v>
      </c>
      <c r="AC61" s="62">
        <f t="shared" si="82"/>
        <v>-1497.3000000000002</v>
      </c>
      <c r="AD61" s="70">
        <f t="shared" si="82"/>
        <v>-1557.8</v>
      </c>
      <c r="AE61" s="61">
        <f t="shared" ref="AE61:AJ61" si="83">SUM(AE62,AE68)</f>
        <v>-1640.3999999999999</v>
      </c>
      <c r="AF61" s="62">
        <f t="shared" si="83"/>
        <v>-1614.7000000000003</v>
      </c>
      <c r="AG61" s="62">
        <f t="shared" si="83"/>
        <v>-1664.6000000000004</v>
      </c>
      <c r="AH61" s="70">
        <f t="shared" si="83"/>
        <v>-1723.1</v>
      </c>
      <c r="AI61" s="62">
        <f t="shared" si="83"/>
        <v>-1789.5000000000005</v>
      </c>
      <c r="AJ61" s="62">
        <f t="shared" si="83"/>
        <v>-1660.1999999999998</v>
      </c>
      <c r="AK61" s="62">
        <f t="shared" ref="AK61:AT61" si="84">SUM(AK62,AK68)</f>
        <v>-1503.8000000000002</v>
      </c>
      <c r="AL61" s="70">
        <f t="shared" si="84"/>
        <v>-1544.7</v>
      </c>
      <c r="AM61" s="62">
        <f t="shared" si="84"/>
        <v>-1554.4</v>
      </c>
      <c r="AN61" s="62">
        <f t="shared" si="84"/>
        <v>-1478.4</v>
      </c>
      <c r="AO61" s="62">
        <f t="shared" si="84"/>
        <v>-1452.1</v>
      </c>
      <c r="AP61" s="70">
        <f t="shared" si="84"/>
        <v>-1464.8</v>
      </c>
      <c r="AQ61" s="62">
        <f t="shared" si="84"/>
        <v>-1513.5</v>
      </c>
      <c r="AR61" s="62">
        <f t="shared" si="84"/>
        <v>-1533</v>
      </c>
      <c r="AS61" s="62">
        <f t="shared" si="84"/>
        <v>-1589.8000000000002</v>
      </c>
      <c r="AT61" s="62">
        <f t="shared" si="84"/>
        <v>-1664.7</v>
      </c>
    </row>
    <row r="62" spans="1:46" s="175" customFormat="1" ht="11.25">
      <c r="A62" s="45" t="s">
        <v>461</v>
      </c>
      <c r="B62" s="45" t="s">
        <v>436</v>
      </c>
      <c r="C62" s="71">
        <f>SUM(C63:C67)</f>
        <v>-366.09999999999997</v>
      </c>
      <c r="D62" s="72">
        <f t="shared" ref="D62:AD62" si="85">SUM(D63:D67)</f>
        <v>-363.59999999999997</v>
      </c>
      <c r="E62" s="72">
        <f t="shared" si="85"/>
        <v>-304.79999999999995</v>
      </c>
      <c r="F62" s="72">
        <f t="shared" si="85"/>
        <v>-299.90000000000003</v>
      </c>
      <c r="G62" s="71">
        <f t="shared" si="85"/>
        <v>-308.7</v>
      </c>
      <c r="H62" s="72">
        <f t="shared" si="85"/>
        <v>-228.49999999999997</v>
      </c>
      <c r="I62" s="72">
        <f t="shared" si="85"/>
        <v>-244.60000000000002</v>
      </c>
      <c r="J62" s="73">
        <f t="shared" si="85"/>
        <v>-296</v>
      </c>
      <c r="K62" s="71">
        <f t="shared" si="85"/>
        <v>-453.7</v>
      </c>
      <c r="L62" s="72">
        <f t="shared" si="85"/>
        <v>-545.09999999999991</v>
      </c>
      <c r="M62" s="72">
        <f t="shared" si="85"/>
        <v>-569.6</v>
      </c>
      <c r="N62" s="73">
        <f t="shared" si="85"/>
        <v>-617.1</v>
      </c>
      <c r="O62" s="71">
        <f t="shared" si="85"/>
        <v>-655.1</v>
      </c>
      <c r="P62" s="72">
        <f t="shared" si="85"/>
        <v>-684.6</v>
      </c>
      <c r="Q62" s="72">
        <f t="shared" si="85"/>
        <v>-736.80000000000007</v>
      </c>
      <c r="R62" s="73">
        <f t="shared" si="85"/>
        <v>-762.00000000000011</v>
      </c>
      <c r="S62" s="71">
        <f t="shared" si="85"/>
        <v>-771.50000000000011</v>
      </c>
      <c r="T62" s="72">
        <f t="shared" si="85"/>
        <v>-792.2</v>
      </c>
      <c r="U62" s="72">
        <f t="shared" si="85"/>
        <v>-816.2</v>
      </c>
      <c r="V62" s="73">
        <f t="shared" si="85"/>
        <v>-734.8</v>
      </c>
      <c r="W62" s="71">
        <f t="shared" si="85"/>
        <v>-799.10000000000014</v>
      </c>
      <c r="X62" s="72">
        <f t="shared" si="85"/>
        <v>-864.90000000000009</v>
      </c>
      <c r="Y62" s="72">
        <f t="shared" si="85"/>
        <v>-912.3</v>
      </c>
      <c r="Z62" s="73">
        <f t="shared" si="85"/>
        <v>-960.6</v>
      </c>
      <c r="AA62" s="71">
        <f t="shared" si="85"/>
        <v>-969.4000000000002</v>
      </c>
      <c r="AB62" s="72">
        <f t="shared" si="85"/>
        <v>-1008.5999999999999</v>
      </c>
      <c r="AC62" s="72">
        <f t="shared" si="85"/>
        <v>-1018.8000000000001</v>
      </c>
      <c r="AD62" s="73">
        <f t="shared" si="85"/>
        <v>-1062.3</v>
      </c>
      <c r="AE62" s="71">
        <f t="shared" ref="AE62:AJ62" si="86">SUM(AE63:AE67)</f>
        <v>-1104.3999999999999</v>
      </c>
      <c r="AF62" s="72">
        <f t="shared" si="86"/>
        <v>-1065.5000000000002</v>
      </c>
      <c r="AG62" s="72">
        <f t="shared" si="86"/>
        <v>-1093.9000000000001</v>
      </c>
      <c r="AH62" s="73">
        <f t="shared" si="86"/>
        <v>-1125.3999999999999</v>
      </c>
      <c r="AI62" s="72">
        <f t="shared" si="86"/>
        <v>-1158.2000000000003</v>
      </c>
      <c r="AJ62" s="72">
        <f t="shared" si="86"/>
        <v>-1015.3</v>
      </c>
      <c r="AK62" s="72">
        <f t="shared" ref="AK62:AT62" si="87">SUM(AK63:AK67)</f>
        <v>-957</v>
      </c>
      <c r="AL62" s="73">
        <f t="shared" si="87"/>
        <v>-989.30000000000007</v>
      </c>
      <c r="AM62" s="72">
        <f t="shared" si="87"/>
        <v>-1022.5</v>
      </c>
      <c r="AN62" s="72">
        <f t="shared" si="87"/>
        <v>-918.1</v>
      </c>
      <c r="AO62" s="72">
        <f t="shared" si="87"/>
        <v>-935.69999999999993</v>
      </c>
      <c r="AP62" s="73">
        <f t="shared" si="87"/>
        <v>-880.19999999999993</v>
      </c>
      <c r="AQ62" s="72">
        <f t="shared" si="87"/>
        <v>-890.19999999999993</v>
      </c>
      <c r="AR62" s="72">
        <f t="shared" si="87"/>
        <v>-873.7</v>
      </c>
      <c r="AS62" s="72">
        <f t="shared" si="87"/>
        <v>-925.2</v>
      </c>
      <c r="AT62" s="72">
        <f t="shared" si="87"/>
        <v>-969.1</v>
      </c>
    </row>
    <row r="63" spans="1:46" s="173" customFormat="1" ht="11.25">
      <c r="A63" s="188" t="s">
        <v>465</v>
      </c>
      <c r="B63" s="188" t="s">
        <v>80</v>
      </c>
      <c r="C63" s="81">
        <v>-341.7</v>
      </c>
      <c r="D63" s="82">
        <v>-339.7</v>
      </c>
      <c r="E63" s="82">
        <v>-281.7</v>
      </c>
      <c r="F63" s="82">
        <v>-277.3</v>
      </c>
      <c r="G63" s="81">
        <v>-285.89999999999998</v>
      </c>
      <c r="H63" s="82">
        <v>-219.49999999999997</v>
      </c>
      <c r="I63" s="82">
        <v>-235.50000000000003</v>
      </c>
      <c r="J63" s="83">
        <v>-286.60000000000002</v>
      </c>
      <c r="K63" s="81">
        <v>-443.2</v>
      </c>
      <c r="L63" s="82">
        <v>-534.79999999999995</v>
      </c>
      <c r="M63" s="82">
        <v>-558.80000000000007</v>
      </c>
      <c r="N63" s="83">
        <v>-605.6</v>
      </c>
      <c r="O63" s="81">
        <v>-642.6</v>
      </c>
      <c r="P63" s="82">
        <v>-671.80000000000007</v>
      </c>
      <c r="Q63" s="82">
        <v>-727.80000000000007</v>
      </c>
      <c r="R63" s="83">
        <v>-756.1</v>
      </c>
      <c r="S63" s="81">
        <v>-765.7</v>
      </c>
      <c r="T63" s="82">
        <v>-786.09999999999991</v>
      </c>
      <c r="U63" s="82">
        <v>-809.2</v>
      </c>
      <c r="V63" s="83">
        <v>-728.09999999999991</v>
      </c>
      <c r="W63" s="81">
        <v>-725.30000000000007</v>
      </c>
      <c r="X63" s="82">
        <v>-761.40000000000009</v>
      </c>
      <c r="Y63" s="82">
        <v>-788.09999999999991</v>
      </c>
      <c r="Z63" s="83">
        <v>-820.2</v>
      </c>
      <c r="AA63" s="81">
        <v>-834.80000000000007</v>
      </c>
      <c r="AB63" s="82">
        <v>-872.5</v>
      </c>
      <c r="AC63" s="82">
        <v>-881.8</v>
      </c>
      <c r="AD63" s="83">
        <v>-985.6</v>
      </c>
      <c r="AE63" s="81">
        <v>-1022.5</v>
      </c>
      <c r="AF63" s="82">
        <v>-979.1</v>
      </c>
      <c r="AG63" s="82">
        <v>-1012.8</v>
      </c>
      <c r="AH63" s="83">
        <v>-1040</v>
      </c>
      <c r="AI63" s="82">
        <v>-1047.7</v>
      </c>
      <c r="AJ63" s="82">
        <v>-896.9</v>
      </c>
      <c r="AK63" s="82">
        <v>-831</v>
      </c>
      <c r="AL63" s="83">
        <v>-836.1</v>
      </c>
      <c r="AM63" s="82">
        <v>-834.5</v>
      </c>
      <c r="AN63" s="82">
        <v>-851.3</v>
      </c>
      <c r="AO63" s="82">
        <v>-869.3</v>
      </c>
      <c r="AP63" s="83">
        <v>-792.9</v>
      </c>
      <c r="AQ63" s="82">
        <v>-813.3</v>
      </c>
      <c r="AR63" s="82">
        <v>-813</v>
      </c>
      <c r="AS63" s="82">
        <v>-859.4</v>
      </c>
      <c r="AT63" s="83">
        <v>-895.6</v>
      </c>
    </row>
    <row r="64" spans="1:46" s="173" customFormat="1" ht="11.25">
      <c r="A64" s="188" t="s">
        <v>466</v>
      </c>
      <c r="B64" s="188" t="s">
        <v>81</v>
      </c>
      <c r="C64" s="81">
        <v>0</v>
      </c>
      <c r="D64" s="82">
        <v>0</v>
      </c>
      <c r="E64" s="82">
        <v>0</v>
      </c>
      <c r="F64" s="82">
        <v>0</v>
      </c>
      <c r="G64" s="81">
        <v>0</v>
      </c>
      <c r="H64" s="82">
        <v>0</v>
      </c>
      <c r="I64" s="82">
        <v>0</v>
      </c>
      <c r="J64" s="83">
        <v>0</v>
      </c>
      <c r="K64" s="81">
        <v>0</v>
      </c>
      <c r="L64" s="82">
        <v>0</v>
      </c>
      <c r="M64" s="82">
        <v>0</v>
      </c>
      <c r="N64" s="83">
        <v>0</v>
      </c>
      <c r="O64" s="81">
        <v>0</v>
      </c>
      <c r="P64" s="82">
        <v>0</v>
      </c>
      <c r="Q64" s="82">
        <v>0</v>
      </c>
      <c r="R64" s="83">
        <v>0</v>
      </c>
      <c r="S64" s="81">
        <v>0</v>
      </c>
      <c r="T64" s="82">
        <v>0</v>
      </c>
      <c r="U64" s="82">
        <v>0</v>
      </c>
      <c r="V64" s="83">
        <v>0</v>
      </c>
      <c r="W64" s="81">
        <v>-62.5</v>
      </c>
      <c r="X64" s="82">
        <v>-61.6</v>
      </c>
      <c r="Y64" s="82">
        <v>-67.900000000000006</v>
      </c>
      <c r="Z64" s="83">
        <v>-69.099999999999994</v>
      </c>
      <c r="AA64" s="81">
        <v>-63.2</v>
      </c>
      <c r="AB64" s="82">
        <v>-59.8</v>
      </c>
      <c r="AC64" s="82">
        <v>-54.199999999999996</v>
      </c>
      <c r="AD64" s="83">
        <v>-59.5</v>
      </c>
      <c r="AE64" s="81">
        <v>-62</v>
      </c>
      <c r="AF64" s="82">
        <v>-63.8</v>
      </c>
      <c r="AG64" s="82">
        <v>-63</v>
      </c>
      <c r="AH64" s="83">
        <v>-61.3</v>
      </c>
      <c r="AI64" s="82">
        <v>-51.199999999999996</v>
      </c>
      <c r="AJ64" s="82">
        <v>-42.7</v>
      </c>
      <c r="AK64" s="82">
        <v>-36.4</v>
      </c>
      <c r="AL64" s="83">
        <v>-37.9</v>
      </c>
      <c r="AM64" s="82">
        <v>-41.3</v>
      </c>
      <c r="AN64" s="82">
        <v>-46.9</v>
      </c>
      <c r="AO64" s="82">
        <v>-44.9</v>
      </c>
      <c r="AP64" s="83">
        <v>-48.8</v>
      </c>
      <c r="AQ64" s="82">
        <v>-38.9</v>
      </c>
      <c r="AR64" s="82">
        <v>-26.6</v>
      </c>
      <c r="AS64" s="82">
        <v>-26.6</v>
      </c>
      <c r="AT64" s="83">
        <v>-30.9</v>
      </c>
    </row>
    <row r="65" spans="1:46" s="173" customFormat="1" ht="11.25">
      <c r="A65" s="188" t="s">
        <v>467</v>
      </c>
      <c r="B65" s="188" t="s">
        <v>82</v>
      </c>
      <c r="C65" s="81">
        <v>-1.4</v>
      </c>
      <c r="D65" s="82">
        <v>-1.4</v>
      </c>
      <c r="E65" s="82">
        <v>-1.2</v>
      </c>
      <c r="F65" s="82">
        <v>-1.1000000000000001</v>
      </c>
      <c r="G65" s="81">
        <v>-1.3</v>
      </c>
      <c r="H65" s="82">
        <v>-0.9</v>
      </c>
      <c r="I65" s="82">
        <v>-1.1000000000000001</v>
      </c>
      <c r="J65" s="83">
        <v>-1.4</v>
      </c>
      <c r="K65" s="81">
        <v>-2.5</v>
      </c>
      <c r="L65" s="82">
        <v>-1.8</v>
      </c>
      <c r="M65" s="82">
        <v>-1.9</v>
      </c>
      <c r="N65" s="83">
        <v>-1.5</v>
      </c>
      <c r="O65" s="81">
        <v>-1.2</v>
      </c>
      <c r="P65" s="82">
        <v>-1.5</v>
      </c>
      <c r="Q65" s="82">
        <v>-1.3</v>
      </c>
      <c r="R65" s="83">
        <v>-1.1000000000000001</v>
      </c>
      <c r="S65" s="81">
        <v>-1</v>
      </c>
      <c r="T65" s="82">
        <v>-1.2</v>
      </c>
      <c r="U65" s="82">
        <v>-2</v>
      </c>
      <c r="V65" s="83">
        <v>-1.9</v>
      </c>
      <c r="W65" s="81">
        <v>-6.4999999999999991</v>
      </c>
      <c r="X65" s="82">
        <v>-4.9000000000000004</v>
      </c>
      <c r="Y65" s="82">
        <v>-5.0999999999999996</v>
      </c>
      <c r="Z65" s="83">
        <v>-8.8000000000000007</v>
      </c>
      <c r="AA65" s="81">
        <v>-7.6999999999999993</v>
      </c>
      <c r="AB65" s="82">
        <v>-7.8000000000000007</v>
      </c>
      <c r="AC65" s="82">
        <v>-9.1</v>
      </c>
      <c r="AD65" s="83">
        <v>-11.7</v>
      </c>
      <c r="AE65" s="81">
        <v>-14.099999999999998</v>
      </c>
      <c r="AF65" s="82">
        <v>-16.900000000000002</v>
      </c>
      <c r="AG65" s="82">
        <v>-12.2</v>
      </c>
      <c r="AH65" s="83">
        <v>-13.8</v>
      </c>
      <c r="AI65" s="82">
        <v>-14.9</v>
      </c>
      <c r="AJ65" s="82">
        <v>-13.9</v>
      </c>
      <c r="AK65" s="82">
        <v>-11.9</v>
      </c>
      <c r="AL65" s="83">
        <v>-12.200000000000001</v>
      </c>
      <c r="AM65" s="82">
        <v>-17</v>
      </c>
      <c r="AN65" s="82">
        <v>-19.2</v>
      </c>
      <c r="AO65" s="82">
        <v>-20.6</v>
      </c>
      <c r="AP65" s="83">
        <v>-21.9</v>
      </c>
      <c r="AQ65" s="82">
        <v>-22.1</v>
      </c>
      <c r="AR65" s="82">
        <v>-18.5</v>
      </c>
      <c r="AS65" s="82">
        <v>-23.6</v>
      </c>
      <c r="AT65" s="83">
        <v>-26.9</v>
      </c>
    </row>
    <row r="66" spans="1:46" s="173" customFormat="1" ht="11.25">
      <c r="A66" s="188" t="s">
        <v>524</v>
      </c>
      <c r="B66" s="189" t="s">
        <v>513</v>
      </c>
      <c r="C66" s="81">
        <v>-15</v>
      </c>
      <c r="D66" s="82">
        <v>-14.5</v>
      </c>
      <c r="E66" s="82">
        <v>-13.9</v>
      </c>
      <c r="F66" s="82">
        <v>-13.5</v>
      </c>
      <c r="G66" s="81">
        <v>-13.5</v>
      </c>
      <c r="H66" s="82">
        <v>-0.1</v>
      </c>
      <c r="I66" s="82">
        <v>0</v>
      </c>
      <c r="J66" s="83">
        <v>0</v>
      </c>
      <c r="K66" s="81">
        <v>0</v>
      </c>
      <c r="L66" s="82">
        <v>-0.5</v>
      </c>
      <c r="M66" s="82">
        <v>-0.9</v>
      </c>
      <c r="N66" s="83">
        <v>-2</v>
      </c>
      <c r="O66" s="81">
        <v>-3.3</v>
      </c>
      <c r="P66" s="82">
        <v>-3.3</v>
      </c>
      <c r="Q66" s="82">
        <v>-3.1</v>
      </c>
      <c r="R66" s="83">
        <v>-0.2</v>
      </c>
      <c r="S66" s="81">
        <v>-0.2</v>
      </c>
      <c r="T66" s="82">
        <v>-0.2</v>
      </c>
      <c r="U66" s="82">
        <v>-0.3</v>
      </c>
      <c r="V66" s="83">
        <v>-0.2</v>
      </c>
      <c r="W66" s="81">
        <v>-0.2</v>
      </c>
      <c r="X66" s="82">
        <v>-32.299999999999997</v>
      </c>
      <c r="Y66" s="82">
        <v>-46.5</v>
      </c>
      <c r="Z66" s="83">
        <v>-57.8</v>
      </c>
      <c r="AA66" s="81">
        <v>-59</v>
      </c>
      <c r="AB66" s="82">
        <v>-63.800000000000004</v>
      </c>
      <c r="AC66" s="82">
        <v>-69</v>
      </c>
      <c r="AD66" s="83">
        <v>-0.8</v>
      </c>
      <c r="AE66" s="81">
        <v>-1.1000000000000001</v>
      </c>
      <c r="AF66" s="82">
        <v>-1</v>
      </c>
      <c r="AG66" s="82">
        <v>-1.2</v>
      </c>
      <c r="AH66" s="83">
        <v>-5.6</v>
      </c>
      <c r="AI66" s="82">
        <v>-44.400000000000006</v>
      </c>
      <c r="AJ66" s="82">
        <v>-61.8</v>
      </c>
      <c r="AK66" s="82">
        <v>-77.7</v>
      </c>
      <c r="AL66" s="83">
        <v>-103.1</v>
      </c>
      <c r="AM66" s="82">
        <v>-129.69999999999999</v>
      </c>
      <c r="AN66" s="82">
        <v>-0.7</v>
      </c>
      <c r="AO66" s="82">
        <v>-0.9</v>
      </c>
      <c r="AP66" s="83">
        <v>-16.600000000000001</v>
      </c>
      <c r="AQ66" s="82">
        <v>-15.9</v>
      </c>
      <c r="AR66" s="82">
        <v>-15.6</v>
      </c>
      <c r="AS66" s="82">
        <v>-15.6</v>
      </c>
      <c r="AT66" s="83">
        <v>-15.7</v>
      </c>
    </row>
    <row r="67" spans="1:46" s="173" customFormat="1" ht="11.25">
      <c r="A67" s="188" t="s">
        <v>468</v>
      </c>
      <c r="B67" s="188" t="s">
        <v>89</v>
      </c>
      <c r="C67" s="81">
        <v>-8</v>
      </c>
      <c r="D67" s="82">
        <v>-8</v>
      </c>
      <c r="E67" s="82">
        <v>-8</v>
      </c>
      <c r="F67" s="82">
        <v>-8</v>
      </c>
      <c r="G67" s="81">
        <v>-8</v>
      </c>
      <c r="H67" s="82">
        <v>-8</v>
      </c>
      <c r="I67" s="82">
        <v>-8</v>
      </c>
      <c r="J67" s="83">
        <v>-8</v>
      </c>
      <c r="K67" s="81">
        <v>-8</v>
      </c>
      <c r="L67" s="82">
        <v>-8</v>
      </c>
      <c r="M67" s="82">
        <v>-8</v>
      </c>
      <c r="N67" s="83">
        <v>-8</v>
      </c>
      <c r="O67" s="81">
        <v>-8</v>
      </c>
      <c r="P67" s="82">
        <v>-8</v>
      </c>
      <c r="Q67" s="82">
        <v>-4.5999999999999996</v>
      </c>
      <c r="R67" s="83">
        <v>-4.5999999999999996</v>
      </c>
      <c r="S67" s="81">
        <v>-4.5999999999999996</v>
      </c>
      <c r="T67" s="82">
        <v>-4.7</v>
      </c>
      <c r="U67" s="82">
        <v>-4.7</v>
      </c>
      <c r="V67" s="83">
        <v>-4.5999999999999996</v>
      </c>
      <c r="W67" s="81">
        <v>-4.5999999999999996</v>
      </c>
      <c r="X67" s="82">
        <v>-4.7</v>
      </c>
      <c r="Y67" s="82">
        <v>-4.7</v>
      </c>
      <c r="Z67" s="83">
        <v>-4.7</v>
      </c>
      <c r="AA67" s="81">
        <v>-4.7</v>
      </c>
      <c r="AB67" s="82">
        <v>-4.7</v>
      </c>
      <c r="AC67" s="82">
        <v>-4.7</v>
      </c>
      <c r="AD67" s="83">
        <v>-4.7</v>
      </c>
      <c r="AE67" s="81">
        <v>-4.7</v>
      </c>
      <c r="AF67" s="82">
        <v>-4.7</v>
      </c>
      <c r="AG67" s="82">
        <v>-4.7</v>
      </c>
      <c r="AH67" s="83">
        <v>-4.7</v>
      </c>
      <c r="AI67" s="82">
        <v>0</v>
      </c>
      <c r="AJ67" s="82">
        <v>0</v>
      </c>
      <c r="AK67" s="82">
        <v>0</v>
      </c>
      <c r="AL67" s="83">
        <v>0</v>
      </c>
      <c r="AM67" s="82">
        <v>0</v>
      </c>
      <c r="AN67" s="82">
        <v>0</v>
      </c>
      <c r="AO67" s="82">
        <v>0</v>
      </c>
      <c r="AP67" s="83">
        <v>0</v>
      </c>
      <c r="AQ67" s="82">
        <v>0</v>
      </c>
      <c r="AR67" s="82">
        <v>0</v>
      </c>
      <c r="AS67" s="82">
        <v>0</v>
      </c>
      <c r="AT67" s="83">
        <v>0</v>
      </c>
    </row>
    <row r="68" spans="1:46" s="175" customFormat="1" ht="11.25">
      <c r="A68" s="190" t="s">
        <v>462</v>
      </c>
      <c r="B68" s="190" t="s">
        <v>437</v>
      </c>
      <c r="C68" s="71">
        <f>SUM(C69:C72)</f>
        <v>-266.10000000000002</v>
      </c>
      <c r="D68" s="72">
        <f t="shared" ref="D68:AD68" si="88">SUM(D69:D72)</f>
        <v>-227.1</v>
      </c>
      <c r="E68" s="72">
        <f t="shared" si="88"/>
        <v>-216.99999999999997</v>
      </c>
      <c r="F68" s="72">
        <f t="shared" si="88"/>
        <v>-226.20000000000002</v>
      </c>
      <c r="G68" s="71">
        <f t="shared" si="88"/>
        <v>-230.5</v>
      </c>
      <c r="H68" s="72">
        <f t="shared" si="88"/>
        <v>-144.4</v>
      </c>
      <c r="I68" s="72">
        <f t="shared" si="88"/>
        <v>-149</v>
      </c>
      <c r="J68" s="73">
        <f t="shared" si="88"/>
        <v>-186.29999999999998</v>
      </c>
      <c r="K68" s="71">
        <f t="shared" si="88"/>
        <v>-200.4</v>
      </c>
      <c r="L68" s="72">
        <f t="shared" si="88"/>
        <v>-210.7</v>
      </c>
      <c r="M68" s="72">
        <f t="shared" si="88"/>
        <v>-235.29999999999998</v>
      </c>
      <c r="N68" s="73">
        <f t="shared" si="88"/>
        <v>-257</v>
      </c>
      <c r="O68" s="71">
        <f t="shared" si="88"/>
        <v>-275.8</v>
      </c>
      <c r="P68" s="72">
        <f t="shared" si="88"/>
        <v>-288.10000000000002</v>
      </c>
      <c r="Q68" s="72">
        <f t="shared" si="88"/>
        <v>-301.10000000000002</v>
      </c>
      <c r="R68" s="73">
        <f t="shared" si="88"/>
        <v>-320</v>
      </c>
      <c r="S68" s="71">
        <f t="shared" si="88"/>
        <v>-351.20000000000005</v>
      </c>
      <c r="T68" s="72">
        <f t="shared" si="88"/>
        <v>-348.40000000000003</v>
      </c>
      <c r="U68" s="72">
        <f t="shared" si="88"/>
        <v>-366.5</v>
      </c>
      <c r="V68" s="73">
        <f t="shared" si="88"/>
        <v>-377.50000000000006</v>
      </c>
      <c r="W68" s="71">
        <f t="shared" si="88"/>
        <v>-395.8</v>
      </c>
      <c r="X68" s="72">
        <f t="shared" si="88"/>
        <v>-424.7</v>
      </c>
      <c r="Y68" s="72">
        <f t="shared" si="88"/>
        <v>-446.40000000000003</v>
      </c>
      <c r="Z68" s="73">
        <f t="shared" si="88"/>
        <v>-467.20000000000005</v>
      </c>
      <c r="AA68" s="71">
        <f t="shared" si="88"/>
        <v>-503.8</v>
      </c>
      <c r="AB68" s="72">
        <f t="shared" si="88"/>
        <v>-565.20000000000005</v>
      </c>
      <c r="AC68" s="72">
        <f t="shared" si="88"/>
        <v>-478.5</v>
      </c>
      <c r="AD68" s="73">
        <f t="shared" si="88"/>
        <v>-495.5</v>
      </c>
      <c r="AE68" s="71">
        <f t="shared" ref="AE68:AJ68" si="89">SUM(AE69:AE72)</f>
        <v>-536</v>
      </c>
      <c r="AF68" s="72">
        <f t="shared" si="89"/>
        <v>-549.19999999999993</v>
      </c>
      <c r="AG68" s="72">
        <f t="shared" si="89"/>
        <v>-570.70000000000016</v>
      </c>
      <c r="AH68" s="73">
        <f t="shared" si="89"/>
        <v>-597.70000000000005</v>
      </c>
      <c r="AI68" s="72">
        <f t="shared" si="89"/>
        <v>-631.30000000000007</v>
      </c>
      <c r="AJ68" s="72">
        <f t="shared" si="89"/>
        <v>-644.9</v>
      </c>
      <c r="AK68" s="72">
        <f t="shared" ref="AK68:AT68" si="90">SUM(AK69:AK72)</f>
        <v>-546.80000000000007</v>
      </c>
      <c r="AL68" s="73">
        <f t="shared" si="90"/>
        <v>-555.4</v>
      </c>
      <c r="AM68" s="72">
        <f t="shared" si="90"/>
        <v>-531.9</v>
      </c>
      <c r="AN68" s="72">
        <f t="shared" si="90"/>
        <v>-560.29999999999995</v>
      </c>
      <c r="AO68" s="72">
        <f t="shared" si="90"/>
        <v>-516.40000000000009</v>
      </c>
      <c r="AP68" s="73">
        <f t="shared" si="90"/>
        <v>-584.6</v>
      </c>
      <c r="AQ68" s="72">
        <f t="shared" si="90"/>
        <v>-623.29999999999995</v>
      </c>
      <c r="AR68" s="72">
        <f t="shared" si="90"/>
        <v>-659.30000000000007</v>
      </c>
      <c r="AS68" s="72">
        <f t="shared" si="90"/>
        <v>-664.6</v>
      </c>
      <c r="AT68" s="72">
        <f t="shared" si="90"/>
        <v>-695.6</v>
      </c>
    </row>
    <row r="69" spans="1:46" s="173" customFormat="1" ht="11.25">
      <c r="A69" s="188" t="s">
        <v>465</v>
      </c>
      <c r="B69" s="188" t="s">
        <v>80</v>
      </c>
      <c r="C69" s="81">
        <v>-264.3</v>
      </c>
      <c r="D69" s="82">
        <v>-225.3</v>
      </c>
      <c r="E69" s="82">
        <v>-215.2</v>
      </c>
      <c r="F69" s="82">
        <v>-224.3</v>
      </c>
      <c r="G69" s="81">
        <v>-228.6</v>
      </c>
      <c r="H69" s="82">
        <v>-142.80000000000001</v>
      </c>
      <c r="I69" s="82">
        <v>-147.4</v>
      </c>
      <c r="J69" s="83">
        <v>-184.7</v>
      </c>
      <c r="K69" s="81">
        <v>-198.8</v>
      </c>
      <c r="L69" s="82">
        <v>-209.1</v>
      </c>
      <c r="M69" s="82">
        <v>-233.7</v>
      </c>
      <c r="N69" s="83">
        <v>-255.4</v>
      </c>
      <c r="O69" s="81">
        <v>-274.2</v>
      </c>
      <c r="P69" s="82">
        <v>-286.5</v>
      </c>
      <c r="Q69" s="82">
        <v>-299.5</v>
      </c>
      <c r="R69" s="83">
        <v>-318.39999999999998</v>
      </c>
      <c r="S69" s="81">
        <v>-349.5</v>
      </c>
      <c r="T69" s="82">
        <v>-346.8</v>
      </c>
      <c r="U69" s="82">
        <v>-364.8</v>
      </c>
      <c r="V69" s="83">
        <v>-375.8</v>
      </c>
      <c r="W69" s="81">
        <v>-394</v>
      </c>
      <c r="X69" s="82">
        <v>-422.8</v>
      </c>
      <c r="Y69" s="82">
        <v>-444.5</v>
      </c>
      <c r="Z69" s="83">
        <v>-465.8</v>
      </c>
      <c r="AA69" s="81">
        <v>-502.6</v>
      </c>
      <c r="AB69" s="82">
        <v>-563.70000000000005</v>
      </c>
      <c r="AC69" s="82">
        <v>-477.5</v>
      </c>
      <c r="AD69" s="83">
        <v>-494.6</v>
      </c>
      <c r="AE69" s="81">
        <v>-534.9</v>
      </c>
      <c r="AF69" s="82">
        <v>-547.79999999999995</v>
      </c>
      <c r="AG69" s="82">
        <v>-569.30000000000007</v>
      </c>
      <c r="AH69" s="83">
        <v>-596.30000000000007</v>
      </c>
      <c r="AI69" s="82">
        <v>-629.90000000000009</v>
      </c>
      <c r="AJ69" s="82">
        <v>-643.4</v>
      </c>
      <c r="AK69" s="82">
        <v>-544.20000000000005</v>
      </c>
      <c r="AL69" s="83">
        <v>-553.29999999999995</v>
      </c>
      <c r="AM69" s="82">
        <v>-529.5</v>
      </c>
      <c r="AN69" s="82">
        <v>-557.29999999999995</v>
      </c>
      <c r="AO69" s="82">
        <v>-513.70000000000005</v>
      </c>
      <c r="AP69" s="83">
        <v>-582.1</v>
      </c>
      <c r="AQ69" s="82">
        <v>-620.4</v>
      </c>
      <c r="AR69" s="82">
        <v>-655.7</v>
      </c>
      <c r="AS69" s="82">
        <v>-658.6</v>
      </c>
      <c r="AT69" s="83">
        <v>-689.8</v>
      </c>
    </row>
    <row r="70" spans="1:46" s="173" customFormat="1" ht="11.25">
      <c r="A70" s="185" t="s">
        <v>466</v>
      </c>
      <c r="B70" s="185" t="s">
        <v>81</v>
      </c>
      <c r="C70" s="81">
        <v>0</v>
      </c>
      <c r="D70" s="82">
        <v>0</v>
      </c>
      <c r="E70" s="82">
        <v>0</v>
      </c>
      <c r="F70" s="82">
        <v>0</v>
      </c>
      <c r="G70" s="81">
        <v>0</v>
      </c>
      <c r="H70" s="82">
        <v>0</v>
      </c>
      <c r="I70" s="82">
        <v>0</v>
      </c>
      <c r="J70" s="83">
        <v>0</v>
      </c>
      <c r="K70" s="81">
        <v>0</v>
      </c>
      <c r="L70" s="82">
        <v>0</v>
      </c>
      <c r="M70" s="82">
        <v>0</v>
      </c>
      <c r="N70" s="83">
        <v>0</v>
      </c>
      <c r="O70" s="81">
        <v>0</v>
      </c>
      <c r="P70" s="82">
        <v>0</v>
      </c>
      <c r="Q70" s="82">
        <v>0</v>
      </c>
      <c r="R70" s="83">
        <v>0</v>
      </c>
      <c r="S70" s="81">
        <v>0</v>
      </c>
      <c r="T70" s="82">
        <v>0</v>
      </c>
      <c r="U70" s="82">
        <v>0</v>
      </c>
      <c r="V70" s="83">
        <v>0</v>
      </c>
      <c r="W70" s="81">
        <v>-0.2</v>
      </c>
      <c r="X70" s="82">
        <v>-0.2</v>
      </c>
      <c r="Y70" s="82">
        <v>-0.3</v>
      </c>
      <c r="Z70" s="83">
        <v>-0.3</v>
      </c>
      <c r="AA70" s="81">
        <v>-0.2</v>
      </c>
      <c r="AB70" s="82">
        <v>-0.2</v>
      </c>
      <c r="AC70" s="82">
        <f>-0.2</f>
        <v>-0.2</v>
      </c>
      <c r="AD70" s="83">
        <v>-0.2</v>
      </c>
      <c r="AE70" s="81">
        <v>-0.6</v>
      </c>
      <c r="AF70" s="82">
        <v>-0.8</v>
      </c>
      <c r="AG70" s="82">
        <v>-0.7</v>
      </c>
      <c r="AH70" s="83">
        <v>-0.8</v>
      </c>
      <c r="AI70" s="82">
        <v>-0.8</v>
      </c>
      <c r="AJ70" s="82">
        <v>-0.9</v>
      </c>
      <c r="AK70" s="82">
        <v>-2</v>
      </c>
      <c r="AL70" s="83">
        <v>-1.5</v>
      </c>
      <c r="AM70" s="82">
        <v>-1.8</v>
      </c>
      <c r="AN70" s="82">
        <v>-1.9</v>
      </c>
      <c r="AO70" s="82">
        <v>-1.5</v>
      </c>
      <c r="AP70" s="83">
        <v>-1.6</v>
      </c>
      <c r="AQ70" s="82">
        <v>-2</v>
      </c>
      <c r="AR70" s="82">
        <v>-2.2000000000000002</v>
      </c>
      <c r="AS70" s="82">
        <v>-2.9</v>
      </c>
      <c r="AT70" s="83">
        <v>-2.7</v>
      </c>
    </row>
    <row r="71" spans="1:46" s="173" customFormat="1" ht="11.25">
      <c r="A71" s="185" t="s">
        <v>467</v>
      </c>
      <c r="B71" s="185" t="s">
        <v>82</v>
      </c>
      <c r="C71" s="81">
        <v>-1.2</v>
      </c>
      <c r="D71" s="82">
        <v>-1.2</v>
      </c>
      <c r="E71" s="82">
        <v>-1.2</v>
      </c>
      <c r="F71" s="82">
        <v>-1.3</v>
      </c>
      <c r="G71" s="81">
        <v>-1.3</v>
      </c>
      <c r="H71" s="82">
        <v>-1</v>
      </c>
      <c r="I71" s="82">
        <v>-1</v>
      </c>
      <c r="J71" s="83">
        <v>-1</v>
      </c>
      <c r="K71" s="81">
        <v>-1</v>
      </c>
      <c r="L71" s="82">
        <v>-1</v>
      </c>
      <c r="M71" s="82">
        <v>-1</v>
      </c>
      <c r="N71" s="83">
        <v>-1</v>
      </c>
      <c r="O71" s="81">
        <v>-1</v>
      </c>
      <c r="P71" s="82">
        <v>-1</v>
      </c>
      <c r="Q71" s="82">
        <v>-1</v>
      </c>
      <c r="R71" s="83">
        <v>-1</v>
      </c>
      <c r="S71" s="81">
        <v>-1.1000000000000001</v>
      </c>
      <c r="T71" s="82">
        <v>-1.1000000000000001</v>
      </c>
      <c r="U71" s="82">
        <v>-1.2</v>
      </c>
      <c r="V71" s="83">
        <v>-1.1000000000000001</v>
      </c>
      <c r="W71" s="81">
        <v>-1.1000000000000001</v>
      </c>
      <c r="X71" s="82">
        <v>-1.2</v>
      </c>
      <c r="Y71" s="82">
        <v>-1.1000000000000001</v>
      </c>
      <c r="Z71" s="83">
        <v>-0.6</v>
      </c>
      <c r="AA71" s="81">
        <v>-0.5</v>
      </c>
      <c r="AB71" s="82">
        <v>-0.8</v>
      </c>
      <c r="AC71" s="82">
        <v>-0.3</v>
      </c>
      <c r="AD71" s="83">
        <v>-0.2</v>
      </c>
      <c r="AE71" s="81">
        <v>0</v>
      </c>
      <c r="AF71" s="82">
        <v>-0.1</v>
      </c>
      <c r="AG71" s="82">
        <v>-0.2</v>
      </c>
      <c r="AH71" s="83">
        <v>-0.1</v>
      </c>
      <c r="AI71" s="82">
        <v>-0.1</v>
      </c>
      <c r="AJ71" s="82">
        <v>-0.1</v>
      </c>
      <c r="AK71" s="82">
        <v>-0.1</v>
      </c>
      <c r="AL71" s="83">
        <v>-0.1</v>
      </c>
      <c r="AM71" s="82">
        <v>-0.1</v>
      </c>
      <c r="AN71" s="82">
        <v>-0.6</v>
      </c>
      <c r="AO71" s="82">
        <v>-0.7</v>
      </c>
      <c r="AP71" s="83">
        <v>-0.9</v>
      </c>
      <c r="AQ71" s="82">
        <v>-0.9</v>
      </c>
      <c r="AR71" s="82">
        <v>-1.4</v>
      </c>
      <c r="AS71" s="82">
        <v>-3.1</v>
      </c>
      <c r="AT71" s="83">
        <v>-3.1</v>
      </c>
    </row>
    <row r="72" spans="1:46" s="173" customFormat="1" ht="11.25">
      <c r="A72" s="125" t="s">
        <v>468</v>
      </c>
      <c r="B72" s="125" t="s">
        <v>89</v>
      </c>
      <c r="C72" s="81">
        <v>-0.59999999999999964</v>
      </c>
      <c r="D72" s="82">
        <v>-0.59999999999999964</v>
      </c>
      <c r="E72" s="82">
        <v>-0.59999999999999964</v>
      </c>
      <c r="F72" s="82">
        <v>-0.59999999999999964</v>
      </c>
      <c r="G72" s="81">
        <v>-0.59999999999999964</v>
      </c>
      <c r="H72" s="82">
        <v>-0.59999999999999964</v>
      </c>
      <c r="I72" s="82">
        <v>-0.59999999999999964</v>
      </c>
      <c r="J72" s="82">
        <v>-0.59999999999999964</v>
      </c>
      <c r="K72" s="81">
        <v>-0.59999999999999964</v>
      </c>
      <c r="L72" s="82">
        <v>-0.59999999999999964</v>
      </c>
      <c r="M72" s="82">
        <v>-0.59999999999999964</v>
      </c>
      <c r="N72" s="83">
        <v>-0.59999999999999964</v>
      </c>
      <c r="O72" s="81">
        <v>-0.59999999999999964</v>
      </c>
      <c r="P72" s="82">
        <v>-0.59999999999999964</v>
      </c>
      <c r="Q72" s="82">
        <v>-0.60000000000000053</v>
      </c>
      <c r="R72" s="83">
        <v>-0.60000000000000053</v>
      </c>
      <c r="S72" s="81">
        <v>-0.60000000000000053</v>
      </c>
      <c r="T72" s="82">
        <v>-0.5</v>
      </c>
      <c r="U72" s="82">
        <v>-0.5</v>
      </c>
      <c r="V72" s="83">
        <v>-0.60000000000000053</v>
      </c>
      <c r="W72" s="81">
        <v>-0.5</v>
      </c>
      <c r="X72" s="82">
        <v>-0.5</v>
      </c>
      <c r="Y72" s="82">
        <v>-0.5</v>
      </c>
      <c r="Z72" s="83">
        <v>-0.5</v>
      </c>
      <c r="AA72" s="81">
        <v>-0.5</v>
      </c>
      <c r="AB72" s="82">
        <v>-0.5</v>
      </c>
      <c r="AC72" s="82">
        <v>-0.5</v>
      </c>
      <c r="AD72" s="83">
        <v>-0.5</v>
      </c>
      <c r="AE72" s="81">
        <v>-0.5</v>
      </c>
      <c r="AF72" s="82">
        <v>-0.5</v>
      </c>
      <c r="AG72" s="82">
        <v>-0.5</v>
      </c>
      <c r="AH72" s="83">
        <v>-0.5</v>
      </c>
      <c r="AI72" s="82">
        <v>-0.5</v>
      </c>
      <c r="AJ72" s="82">
        <v>-0.5</v>
      </c>
      <c r="AK72" s="82">
        <v>-0.5</v>
      </c>
      <c r="AL72" s="83">
        <v>-0.5</v>
      </c>
      <c r="AM72" s="82">
        <v>-0.5</v>
      </c>
      <c r="AN72" s="82">
        <v>-0.5</v>
      </c>
      <c r="AO72" s="82">
        <v>-0.5</v>
      </c>
      <c r="AP72" s="83">
        <v>0</v>
      </c>
      <c r="AQ72" s="82">
        <v>0</v>
      </c>
      <c r="AR72" s="82">
        <v>0</v>
      </c>
      <c r="AS72" s="82">
        <v>0</v>
      </c>
      <c r="AT72" s="83">
        <v>0</v>
      </c>
    </row>
    <row r="73" spans="1:46" s="176" customFormat="1" ht="16.899999999999999" customHeight="1">
      <c r="A73" s="51" t="s">
        <v>255</v>
      </c>
      <c r="B73" s="51" t="s">
        <v>87</v>
      </c>
      <c r="C73" s="74">
        <f t="shared" ref="C73:AD73" si="91">C60+C61</f>
        <v>10936.4</v>
      </c>
      <c r="D73" s="75">
        <f t="shared" si="91"/>
        <v>11871.600000000002</v>
      </c>
      <c r="E73" s="75">
        <f t="shared" si="91"/>
        <v>12740.500000000002</v>
      </c>
      <c r="F73" s="75">
        <f t="shared" si="91"/>
        <v>13374.599999999999</v>
      </c>
      <c r="G73" s="74">
        <f t="shared" si="91"/>
        <v>14847.1</v>
      </c>
      <c r="H73" s="75">
        <f t="shared" si="91"/>
        <v>16219.1</v>
      </c>
      <c r="I73" s="75">
        <f t="shared" si="91"/>
        <v>18175.900000000001</v>
      </c>
      <c r="J73" s="76">
        <f t="shared" si="91"/>
        <v>19872.3</v>
      </c>
      <c r="K73" s="74">
        <f t="shared" si="91"/>
        <v>21133</v>
      </c>
      <c r="L73" s="75">
        <f t="shared" si="91"/>
        <v>21306.3</v>
      </c>
      <c r="M73" s="75">
        <f t="shared" si="91"/>
        <v>21405.799999999996</v>
      </c>
      <c r="N73" s="76">
        <f t="shared" si="91"/>
        <v>21370.2</v>
      </c>
      <c r="O73" s="74">
        <f t="shared" si="91"/>
        <v>21705.399999999998</v>
      </c>
      <c r="P73" s="75">
        <f t="shared" si="91"/>
        <v>22864.799999999999</v>
      </c>
      <c r="Q73" s="75">
        <f t="shared" si="91"/>
        <v>24292.400000000001</v>
      </c>
      <c r="R73" s="76">
        <f t="shared" si="91"/>
        <v>25223.8</v>
      </c>
      <c r="S73" s="74">
        <f t="shared" si="91"/>
        <v>26088.6</v>
      </c>
      <c r="T73" s="75">
        <f t="shared" si="91"/>
        <v>27686.6</v>
      </c>
      <c r="U73" s="75">
        <f t="shared" si="91"/>
        <v>29593.499999999996</v>
      </c>
      <c r="V73" s="76">
        <f t="shared" si="91"/>
        <v>31635.8</v>
      </c>
      <c r="W73" s="74">
        <f t="shared" si="91"/>
        <v>38737.599999999999</v>
      </c>
      <c r="X73" s="75">
        <f t="shared" si="91"/>
        <v>39331.9</v>
      </c>
      <c r="Y73" s="75">
        <f t="shared" si="91"/>
        <v>40103.599999999999</v>
      </c>
      <c r="Z73" s="76">
        <f t="shared" si="91"/>
        <v>39645</v>
      </c>
      <c r="AA73" s="74">
        <f t="shared" si="91"/>
        <v>40060</v>
      </c>
      <c r="AB73" s="75">
        <f t="shared" si="91"/>
        <v>41569.4</v>
      </c>
      <c r="AC73" s="75">
        <f t="shared" si="91"/>
        <v>43262.099999999991</v>
      </c>
      <c r="AD73" s="76">
        <f t="shared" si="91"/>
        <v>43409.099999999991</v>
      </c>
      <c r="AE73" s="74">
        <f t="shared" ref="AE73:AJ73" si="92">AE60+AE61</f>
        <v>45744.6</v>
      </c>
      <c r="AF73" s="75">
        <f t="shared" si="92"/>
        <v>48332.400000000009</v>
      </c>
      <c r="AG73" s="75">
        <f t="shared" si="92"/>
        <v>51030.6</v>
      </c>
      <c r="AH73" s="76">
        <f t="shared" si="92"/>
        <v>51461.1</v>
      </c>
      <c r="AI73" s="75">
        <f t="shared" si="92"/>
        <v>54115.900000000009</v>
      </c>
      <c r="AJ73" s="75">
        <f t="shared" si="92"/>
        <v>58468.7</v>
      </c>
      <c r="AK73" s="75">
        <f t="shared" ref="AK73:AT73" si="93">AK60+AK61</f>
        <v>61918.399999999994</v>
      </c>
      <c r="AL73" s="76">
        <f t="shared" si="93"/>
        <v>62285.600000000006</v>
      </c>
      <c r="AM73" s="75">
        <f t="shared" si="93"/>
        <v>65329.900000000016</v>
      </c>
      <c r="AN73" s="75">
        <f t="shared" si="93"/>
        <v>68319.400000000009</v>
      </c>
      <c r="AO73" s="75">
        <f t="shared" si="93"/>
        <v>70845.099999999991</v>
      </c>
      <c r="AP73" s="76">
        <f t="shared" si="93"/>
        <v>72306.2</v>
      </c>
      <c r="AQ73" s="75">
        <f t="shared" si="93"/>
        <v>74940.800000000003</v>
      </c>
      <c r="AR73" s="75">
        <f t="shared" si="93"/>
        <v>77554.600000000006</v>
      </c>
      <c r="AS73" s="75">
        <f t="shared" si="93"/>
        <v>80899.999999999985</v>
      </c>
      <c r="AT73" s="75">
        <f t="shared" si="93"/>
        <v>81741.900000000009</v>
      </c>
    </row>
    <row r="74" spans="1:46" s="172" customFormat="1" ht="11.25">
      <c r="A74" s="186"/>
      <c r="B74" s="186"/>
      <c r="C74" s="27"/>
      <c r="D74" s="28"/>
      <c r="E74" s="28"/>
      <c r="F74" s="28"/>
      <c r="G74" s="27"/>
      <c r="H74" s="28"/>
      <c r="I74" s="28"/>
      <c r="J74" s="29"/>
      <c r="K74" s="27"/>
      <c r="L74" s="28"/>
      <c r="M74" s="28"/>
      <c r="N74" s="29"/>
      <c r="O74" s="27"/>
      <c r="P74" s="28"/>
      <c r="Q74" s="28"/>
      <c r="R74" s="29"/>
      <c r="S74" s="27"/>
      <c r="T74" s="28"/>
      <c r="U74" s="28"/>
      <c r="V74" s="29"/>
      <c r="W74" s="27"/>
      <c r="X74" s="28"/>
      <c r="Y74" s="28"/>
      <c r="Z74" s="29"/>
      <c r="AA74" s="27"/>
      <c r="AB74" s="28"/>
      <c r="AC74" s="28"/>
      <c r="AD74" s="29"/>
      <c r="AE74" s="27"/>
      <c r="AF74" s="28"/>
      <c r="AG74" s="28"/>
      <c r="AH74" s="29"/>
      <c r="AI74" s="28"/>
      <c r="AJ74" s="28"/>
      <c r="AK74" s="28"/>
      <c r="AL74" s="29"/>
      <c r="AM74" s="28"/>
      <c r="AN74" s="28"/>
      <c r="AO74" s="28"/>
      <c r="AP74" s="29"/>
      <c r="AQ74" s="28"/>
      <c r="AR74" s="28"/>
      <c r="AS74" s="28"/>
      <c r="AT74" s="29"/>
    </row>
    <row r="75" spans="1:46" s="172" customFormat="1" ht="11.25">
      <c r="A75" s="54" t="s">
        <v>257</v>
      </c>
      <c r="B75" s="54" t="s">
        <v>90</v>
      </c>
      <c r="C75" s="27"/>
      <c r="D75" s="28"/>
      <c r="E75" s="28"/>
      <c r="F75" s="28"/>
      <c r="G75" s="27"/>
      <c r="H75" s="28"/>
      <c r="I75" s="28"/>
      <c r="J75" s="29"/>
      <c r="K75" s="27"/>
      <c r="L75" s="28"/>
      <c r="M75" s="28"/>
      <c r="N75" s="29"/>
      <c r="O75" s="27"/>
      <c r="P75" s="28"/>
      <c r="Q75" s="28"/>
      <c r="R75" s="29"/>
      <c r="S75" s="27"/>
      <c r="T75" s="28"/>
      <c r="U75" s="28"/>
      <c r="V75" s="29"/>
      <c r="W75" s="27"/>
      <c r="X75" s="28"/>
      <c r="Y75" s="28"/>
      <c r="Z75" s="29"/>
      <c r="AA75" s="27"/>
      <c r="AB75" s="28"/>
      <c r="AC75" s="28"/>
      <c r="AD75" s="29"/>
      <c r="AE75" s="27"/>
      <c r="AF75" s="28"/>
      <c r="AG75" s="28"/>
      <c r="AH75" s="29"/>
      <c r="AI75" s="28"/>
      <c r="AJ75" s="28"/>
      <c r="AK75" s="28"/>
      <c r="AL75" s="29"/>
      <c r="AM75" s="28"/>
      <c r="AN75" s="28"/>
      <c r="AO75" s="28"/>
      <c r="AP75" s="29"/>
      <c r="AQ75" s="28"/>
      <c r="AR75" s="28"/>
      <c r="AS75" s="28"/>
      <c r="AT75" s="29"/>
    </row>
    <row r="76" spans="1:46" s="172" customFormat="1" ht="11.25">
      <c r="A76" s="26"/>
      <c r="B76" s="26"/>
      <c r="C76" s="27"/>
      <c r="D76" s="28"/>
      <c r="E76" s="28"/>
      <c r="F76" s="28"/>
      <c r="G76" s="27"/>
      <c r="H76" s="28"/>
      <c r="I76" s="28"/>
      <c r="J76" s="29"/>
      <c r="K76" s="27"/>
      <c r="L76" s="28"/>
      <c r="M76" s="28"/>
      <c r="N76" s="29"/>
      <c r="O76" s="27"/>
      <c r="P76" s="28"/>
      <c r="Q76" s="28"/>
      <c r="R76" s="29"/>
      <c r="S76" s="27"/>
      <c r="T76" s="28"/>
      <c r="U76" s="28"/>
      <c r="V76" s="29"/>
      <c r="W76" s="27"/>
      <c r="X76" s="28"/>
      <c r="Y76" s="28"/>
      <c r="Z76" s="29"/>
      <c r="AA76" s="27"/>
      <c r="AB76" s="28"/>
      <c r="AC76" s="28"/>
      <c r="AD76" s="29"/>
      <c r="AE76" s="27"/>
      <c r="AF76" s="28"/>
      <c r="AG76" s="28"/>
      <c r="AH76" s="29"/>
      <c r="AI76" s="28"/>
      <c r="AJ76" s="28"/>
      <c r="AK76" s="28"/>
      <c r="AL76" s="29"/>
      <c r="AM76" s="28"/>
      <c r="AN76" s="28"/>
      <c r="AO76" s="28"/>
      <c r="AP76" s="29"/>
      <c r="AQ76" s="28"/>
      <c r="AR76" s="28"/>
      <c r="AS76" s="28"/>
      <c r="AT76" s="29"/>
    </row>
    <row r="77" spans="1:46" s="172" customFormat="1" ht="11.25">
      <c r="A77" s="26" t="s">
        <v>251</v>
      </c>
      <c r="B77" s="26" t="s">
        <v>84</v>
      </c>
      <c r="C77" s="27">
        <f>SUM(C78:C79)</f>
        <v>627.50000000000011</v>
      </c>
      <c r="D77" s="28">
        <f t="shared" ref="D77:X77" si="94">SUM(D78:D79)</f>
        <v>604.30000000000007</v>
      </c>
      <c r="E77" s="28">
        <f t="shared" si="94"/>
        <v>612.6</v>
      </c>
      <c r="F77" s="28">
        <f t="shared" si="94"/>
        <v>695.8</v>
      </c>
      <c r="G77" s="27">
        <f t="shared" si="94"/>
        <v>668.8</v>
      </c>
      <c r="H77" s="28">
        <f t="shared" si="94"/>
        <v>672</v>
      </c>
      <c r="I77" s="28">
        <f t="shared" si="94"/>
        <v>684.7</v>
      </c>
      <c r="J77" s="29">
        <f t="shared" si="94"/>
        <v>970.9</v>
      </c>
      <c r="K77" s="27">
        <f t="shared" si="94"/>
        <v>926.80000000000007</v>
      </c>
      <c r="L77" s="28">
        <f t="shared" si="94"/>
        <v>958.9</v>
      </c>
      <c r="M77" s="28">
        <f t="shared" si="94"/>
        <v>1177.4000000000001</v>
      </c>
      <c r="N77" s="29">
        <f t="shared" si="94"/>
        <v>2305.3000000000002</v>
      </c>
      <c r="O77" s="28">
        <f t="shared" si="94"/>
        <v>2257.1</v>
      </c>
      <c r="P77" s="28">
        <f t="shared" si="94"/>
        <v>2389.1</v>
      </c>
      <c r="Q77" s="28">
        <f t="shared" si="94"/>
        <v>2472.9999999999995</v>
      </c>
      <c r="R77" s="29">
        <f t="shared" si="94"/>
        <v>2816.2</v>
      </c>
      <c r="S77" s="28">
        <f t="shared" si="94"/>
        <v>2785.2000000000003</v>
      </c>
      <c r="T77" s="28">
        <f t="shared" si="94"/>
        <v>2740.2</v>
      </c>
      <c r="U77" s="28">
        <f t="shared" si="94"/>
        <v>2890.7999999999997</v>
      </c>
      <c r="V77" s="29">
        <f t="shared" si="94"/>
        <v>3270.6</v>
      </c>
      <c r="W77" s="28">
        <f t="shared" si="94"/>
        <v>3213.8</v>
      </c>
      <c r="X77" s="28">
        <f t="shared" si="94"/>
        <v>3142.6</v>
      </c>
      <c r="Y77" s="28">
        <f t="shared" ref="Y77:AD77" si="95">SUM(Y78:Y79)</f>
        <v>3137.3</v>
      </c>
      <c r="Z77" s="29">
        <f t="shared" si="95"/>
        <v>3090.7000000000003</v>
      </c>
      <c r="AA77" s="28">
        <f t="shared" si="95"/>
        <v>3023.5</v>
      </c>
      <c r="AB77" s="28">
        <f t="shared" si="95"/>
        <v>2923.4</v>
      </c>
      <c r="AC77" s="28">
        <f t="shared" si="95"/>
        <v>2792.7</v>
      </c>
      <c r="AD77" s="29">
        <f t="shared" si="95"/>
        <v>2628.3999999999996</v>
      </c>
      <c r="AE77" s="28">
        <f t="shared" ref="AE77:AJ77" si="96">SUM(AE78:AE79)</f>
        <v>2579.2999999999997</v>
      </c>
      <c r="AF77" s="28">
        <f t="shared" si="96"/>
        <v>2524.6000000000004</v>
      </c>
      <c r="AG77" s="28">
        <f t="shared" si="96"/>
        <v>2518.2999999999997</v>
      </c>
      <c r="AH77" s="29">
        <f t="shared" si="96"/>
        <v>2660.5</v>
      </c>
      <c r="AI77" s="28">
        <f t="shared" si="96"/>
        <v>2612.6000000000004</v>
      </c>
      <c r="AJ77" s="28">
        <f t="shared" si="96"/>
        <v>2546.3000000000002</v>
      </c>
      <c r="AK77" s="28">
        <f t="shared" ref="AK77:AT77" si="97">SUM(AK78:AK79)</f>
        <v>2489.2999999999997</v>
      </c>
      <c r="AL77" s="29">
        <f t="shared" si="97"/>
        <v>2569.4</v>
      </c>
      <c r="AM77" s="28">
        <f t="shared" si="97"/>
        <v>2530.6999999999998</v>
      </c>
      <c r="AN77" s="28">
        <f t="shared" si="97"/>
        <v>2431.7000000000003</v>
      </c>
      <c r="AO77" s="28">
        <f t="shared" si="97"/>
        <v>2340.3000000000002</v>
      </c>
      <c r="AP77" s="29">
        <f t="shared" si="97"/>
        <v>2145.6</v>
      </c>
      <c r="AQ77" s="28">
        <f t="shared" si="97"/>
        <v>2100.1999999999998</v>
      </c>
      <c r="AR77" s="28">
        <f t="shared" si="97"/>
        <v>1969.5</v>
      </c>
      <c r="AS77" s="28">
        <f t="shared" si="97"/>
        <v>1875.6</v>
      </c>
      <c r="AT77" s="28">
        <f t="shared" si="97"/>
        <v>1735.9</v>
      </c>
    </row>
    <row r="78" spans="1:46" s="173" customFormat="1" ht="11.25">
      <c r="A78" s="185" t="s">
        <v>458</v>
      </c>
      <c r="B78" s="185" t="s">
        <v>85</v>
      </c>
      <c r="C78" s="47">
        <v>5.4</v>
      </c>
      <c r="D78" s="48">
        <v>10.6</v>
      </c>
      <c r="E78" s="48">
        <v>10.3</v>
      </c>
      <c r="F78" s="48">
        <v>9.9</v>
      </c>
      <c r="G78" s="47">
        <v>12</v>
      </c>
      <c r="H78" s="48">
        <v>16.3</v>
      </c>
      <c r="I78" s="48">
        <v>12.9</v>
      </c>
      <c r="J78" s="49">
        <v>11.9</v>
      </c>
      <c r="K78" s="47">
        <v>7.9</v>
      </c>
      <c r="L78" s="191">
        <f>14.8+0.1</f>
        <v>14.9</v>
      </c>
      <c r="M78" s="191">
        <f>16.8+0.1</f>
        <v>16.900000000000002</v>
      </c>
      <c r="N78" s="192">
        <v>7.5</v>
      </c>
      <c r="O78" s="191">
        <f>36.5+0.1</f>
        <v>36.6</v>
      </c>
      <c r="P78" s="191">
        <v>64</v>
      </c>
      <c r="Q78" s="191">
        <f>56+0.2</f>
        <v>56.2</v>
      </c>
      <c r="R78" s="192">
        <f>8.4+0.1</f>
        <v>8.5</v>
      </c>
      <c r="S78" s="191">
        <f>62.7+0.1</f>
        <v>62.800000000000004</v>
      </c>
      <c r="T78" s="191">
        <f>64.9+0.3</f>
        <v>65.2</v>
      </c>
      <c r="U78" s="191">
        <f>109+0.1</f>
        <v>109.1</v>
      </c>
      <c r="V78" s="192">
        <f>34.7+0.1</f>
        <v>34.800000000000004</v>
      </c>
      <c r="W78" s="191">
        <v>105.3</v>
      </c>
      <c r="X78" s="191">
        <f>114.5+0.1</f>
        <v>114.6</v>
      </c>
      <c r="Y78" s="191">
        <f>86.4+0.1</f>
        <v>86.5</v>
      </c>
      <c r="Z78" s="192">
        <f>9.5+0.3</f>
        <v>9.8000000000000007</v>
      </c>
      <c r="AA78" s="191">
        <f>64+0.2</f>
        <v>64.2</v>
      </c>
      <c r="AB78" s="191">
        <f>100.4+0.1</f>
        <v>100.5</v>
      </c>
      <c r="AC78" s="191">
        <f>132.4+0.1</f>
        <v>132.5</v>
      </c>
      <c r="AD78" s="192">
        <f>32.6+0.1</f>
        <v>32.700000000000003</v>
      </c>
      <c r="AE78" s="191">
        <f>86.5+0.1</f>
        <v>86.6</v>
      </c>
      <c r="AF78" s="191">
        <f>108.2+0.1</f>
        <v>108.3</v>
      </c>
      <c r="AG78" s="191">
        <f>93.1+0.1</f>
        <v>93.199999999999989</v>
      </c>
      <c r="AH78" s="192">
        <f>6.7+0.1</f>
        <v>6.8</v>
      </c>
      <c r="AI78" s="48">
        <v>88.8</v>
      </c>
      <c r="AJ78" s="48">
        <v>76.400000000000006</v>
      </c>
      <c r="AK78" s="48">
        <v>77.599999999999994</v>
      </c>
      <c r="AL78" s="49">
        <v>6.8</v>
      </c>
      <c r="AM78" s="48">
        <v>85.5</v>
      </c>
      <c r="AN78" s="48">
        <v>103.8</v>
      </c>
      <c r="AO78" s="48">
        <v>110.5</v>
      </c>
      <c r="AP78" s="49">
        <v>7.4</v>
      </c>
      <c r="AQ78" s="48">
        <v>88.7</v>
      </c>
      <c r="AR78" s="48">
        <v>79.3</v>
      </c>
      <c r="AS78" s="48">
        <v>85.5</v>
      </c>
      <c r="AT78" s="49">
        <v>5.5</v>
      </c>
    </row>
    <row r="79" spans="1:46" s="173" customFormat="1" ht="11.25">
      <c r="A79" s="185" t="s">
        <v>459</v>
      </c>
      <c r="B79" s="185" t="s">
        <v>86</v>
      </c>
      <c r="C79" s="47">
        <f>623.7+1.7-3.3</f>
        <v>622.10000000000014</v>
      </c>
      <c r="D79" s="48">
        <f>593.1+2-1.4</f>
        <v>593.70000000000005</v>
      </c>
      <c r="E79" s="48">
        <f>600.5+3.2-1.4</f>
        <v>602.30000000000007</v>
      </c>
      <c r="F79" s="48">
        <f>687.3-1.4</f>
        <v>685.9</v>
      </c>
      <c r="G79" s="47">
        <f>658-1.2</f>
        <v>656.8</v>
      </c>
      <c r="H79" s="48">
        <f>658.7-3</f>
        <v>655.7</v>
      </c>
      <c r="I79" s="48">
        <f>675.2-3.4</f>
        <v>671.80000000000007</v>
      </c>
      <c r="J79" s="49">
        <f>962-3</f>
        <v>959</v>
      </c>
      <c r="K79" s="47">
        <f>921.7-2.8</f>
        <v>918.90000000000009</v>
      </c>
      <c r="L79" s="48">
        <f>944.7-0.7</f>
        <v>944</v>
      </c>
      <c r="M79" s="48">
        <v>1160.5</v>
      </c>
      <c r="N79" s="49">
        <v>2297.8000000000002</v>
      </c>
      <c r="O79" s="48">
        <v>2220.5</v>
      </c>
      <c r="P79" s="48">
        <f>2325.7-0.6</f>
        <v>2325.1</v>
      </c>
      <c r="Q79" s="48">
        <f>2423.2-6.4</f>
        <v>2416.7999999999997</v>
      </c>
      <c r="R79" s="49">
        <v>2807.7</v>
      </c>
      <c r="S79" s="48">
        <v>2722.4</v>
      </c>
      <c r="T79" s="48">
        <f>-0.6+2675.6</f>
        <v>2675</v>
      </c>
      <c r="U79" s="48">
        <f>-0.8+2782.5</f>
        <v>2781.7</v>
      </c>
      <c r="V79" s="49">
        <v>3235.7999999999997</v>
      </c>
      <c r="W79" s="48">
        <v>3108.5</v>
      </c>
      <c r="X79" s="48">
        <v>3028</v>
      </c>
      <c r="Y79" s="48">
        <v>3050.8</v>
      </c>
      <c r="Z79" s="49">
        <v>3080.9</v>
      </c>
      <c r="AA79" s="48">
        <v>2959.3</v>
      </c>
      <c r="AB79" s="48">
        <v>2822.9</v>
      </c>
      <c r="AC79" s="48">
        <v>2660.2</v>
      </c>
      <c r="AD79" s="49">
        <v>2595.6999999999998</v>
      </c>
      <c r="AE79" s="48">
        <v>2492.6999999999998</v>
      </c>
      <c r="AF79" s="48">
        <v>2416.3000000000002</v>
      </c>
      <c r="AG79" s="48">
        <v>2425.1</v>
      </c>
      <c r="AH79" s="49">
        <v>2653.7</v>
      </c>
      <c r="AI79" s="48">
        <v>2523.8000000000002</v>
      </c>
      <c r="AJ79" s="48">
        <v>2469.9</v>
      </c>
      <c r="AK79" s="48">
        <v>2411.6999999999998</v>
      </c>
      <c r="AL79" s="49">
        <v>2562.6</v>
      </c>
      <c r="AM79" s="48">
        <v>2445.1999999999998</v>
      </c>
      <c r="AN79" s="48">
        <v>2327.9</v>
      </c>
      <c r="AO79" s="48">
        <v>2229.8000000000002</v>
      </c>
      <c r="AP79" s="49">
        <v>2138.1999999999998</v>
      </c>
      <c r="AQ79" s="48">
        <v>2011.5</v>
      </c>
      <c r="AR79" s="48">
        <v>1890.2</v>
      </c>
      <c r="AS79" s="48">
        <v>1790.1</v>
      </c>
      <c r="AT79" s="49">
        <v>1730.4</v>
      </c>
    </row>
    <row r="80" spans="1:46" s="172" customFormat="1" ht="11.25">
      <c r="A80" s="26" t="s">
        <v>469</v>
      </c>
      <c r="B80" s="26" t="s">
        <v>75</v>
      </c>
      <c r="C80" s="27">
        <v>0</v>
      </c>
      <c r="D80" s="28">
        <v>0</v>
      </c>
      <c r="E80" s="28">
        <v>0</v>
      </c>
      <c r="F80" s="28">
        <v>0</v>
      </c>
      <c r="G80" s="27">
        <v>0</v>
      </c>
      <c r="H80" s="28">
        <v>0</v>
      </c>
      <c r="I80" s="28">
        <v>0</v>
      </c>
      <c r="J80" s="29">
        <v>0</v>
      </c>
      <c r="K80" s="27">
        <v>0</v>
      </c>
      <c r="L80" s="28">
        <v>0</v>
      </c>
      <c r="M80" s="28">
        <v>0</v>
      </c>
      <c r="N80" s="29">
        <v>0</v>
      </c>
      <c r="O80" s="28">
        <v>0</v>
      </c>
      <c r="P80" s="28">
        <v>0</v>
      </c>
      <c r="Q80" s="28">
        <v>0</v>
      </c>
      <c r="R80" s="29">
        <v>0</v>
      </c>
      <c r="S80" s="28">
        <v>0</v>
      </c>
      <c r="T80" s="28">
        <v>0</v>
      </c>
      <c r="U80" s="28">
        <v>0</v>
      </c>
      <c r="V80" s="29">
        <v>0</v>
      </c>
      <c r="W80" s="28">
        <v>177.5</v>
      </c>
      <c r="X80" s="28">
        <v>172.6</v>
      </c>
      <c r="Y80" s="28">
        <v>11.1</v>
      </c>
      <c r="Z80" s="29">
        <v>12.6</v>
      </c>
      <c r="AA80" s="28">
        <v>11.9</v>
      </c>
      <c r="AB80" s="28">
        <v>0</v>
      </c>
      <c r="AC80" s="28">
        <v>0</v>
      </c>
      <c r="AD80" s="29">
        <v>0</v>
      </c>
      <c r="AE80" s="28">
        <v>0</v>
      </c>
      <c r="AF80" s="28">
        <v>0</v>
      </c>
      <c r="AG80" s="28">
        <v>0</v>
      </c>
      <c r="AH80" s="29">
        <v>0</v>
      </c>
      <c r="AI80" s="28">
        <v>0.1</v>
      </c>
      <c r="AJ80" s="28">
        <v>0</v>
      </c>
      <c r="AK80" s="28">
        <v>0</v>
      </c>
      <c r="AL80" s="29">
        <v>0</v>
      </c>
      <c r="AM80" s="28">
        <v>0</v>
      </c>
      <c r="AN80" s="28">
        <v>0</v>
      </c>
      <c r="AO80" s="28">
        <v>0</v>
      </c>
      <c r="AP80" s="29">
        <v>0</v>
      </c>
      <c r="AQ80" s="28">
        <v>0</v>
      </c>
      <c r="AR80" s="28">
        <v>0</v>
      </c>
      <c r="AS80" s="28">
        <v>0.2</v>
      </c>
      <c r="AT80" s="29">
        <v>0.1</v>
      </c>
    </row>
    <row r="81" spans="1:46" s="172" customFormat="1" ht="11.25">
      <c r="A81" s="26" t="s">
        <v>470</v>
      </c>
      <c r="B81" s="26" t="s">
        <v>76</v>
      </c>
      <c r="C81" s="27">
        <f>3.3</f>
        <v>3.3</v>
      </c>
      <c r="D81" s="28">
        <f>1.4</f>
        <v>1.4</v>
      </c>
      <c r="E81" s="28">
        <f>1.4</f>
        <v>1.4</v>
      </c>
      <c r="F81" s="28">
        <f>1.4</f>
        <v>1.4</v>
      </c>
      <c r="G81" s="27">
        <v>1.2</v>
      </c>
      <c r="H81" s="28">
        <v>3</v>
      </c>
      <c r="I81" s="28">
        <v>3.4</v>
      </c>
      <c r="J81" s="29">
        <v>3</v>
      </c>
      <c r="K81" s="27">
        <v>2.8</v>
      </c>
      <c r="L81" s="28">
        <v>0.7</v>
      </c>
      <c r="M81" s="28">
        <v>0</v>
      </c>
      <c r="N81" s="29">
        <v>0</v>
      </c>
      <c r="O81" s="28">
        <v>0</v>
      </c>
      <c r="P81" s="28">
        <v>0.6</v>
      </c>
      <c r="Q81" s="28">
        <v>6.4</v>
      </c>
      <c r="R81" s="29">
        <v>4.4000000000000004</v>
      </c>
      <c r="S81" s="28">
        <v>4</v>
      </c>
      <c r="T81" s="28">
        <v>0.6</v>
      </c>
      <c r="U81" s="28">
        <v>0.8</v>
      </c>
      <c r="V81" s="29">
        <v>2.2999999999999998</v>
      </c>
      <c r="W81" s="28">
        <v>5.7</v>
      </c>
      <c r="X81" s="28">
        <v>18.899999999999999</v>
      </c>
      <c r="Y81" s="28">
        <v>24.400000000000002</v>
      </c>
      <c r="Z81" s="29">
        <v>23.299999999999997</v>
      </c>
      <c r="AA81" s="28">
        <v>11.8</v>
      </c>
      <c r="AB81" s="28">
        <v>11.5</v>
      </c>
      <c r="AC81" s="28">
        <v>11.200000000000001</v>
      </c>
      <c r="AD81" s="29">
        <v>16.600000000000001</v>
      </c>
      <c r="AE81" s="28">
        <v>21.700000000000003</v>
      </c>
      <c r="AF81" s="28">
        <v>32.1</v>
      </c>
      <c r="AG81" s="28">
        <v>30.1</v>
      </c>
      <c r="AH81" s="29">
        <v>33.800000000000004</v>
      </c>
      <c r="AI81" s="28">
        <v>41.2</v>
      </c>
      <c r="AJ81" s="28">
        <v>39.299999999999997</v>
      </c>
      <c r="AK81" s="28">
        <v>38.800000000000004</v>
      </c>
      <c r="AL81" s="29">
        <v>45</v>
      </c>
      <c r="AM81" s="28">
        <v>51</v>
      </c>
      <c r="AN81" s="28">
        <v>60.800000000000004</v>
      </c>
      <c r="AO81" s="28">
        <v>72</v>
      </c>
      <c r="AP81" s="29">
        <v>84.6</v>
      </c>
      <c r="AQ81" s="28">
        <v>95.8</v>
      </c>
      <c r="AR81" s="28">
        <v>98.9</v>
      </c>
      <c r="AS81" s="28">
        <v>86.3</v>
      </c>
      <c r="AT81" s="29">
        <v>85.8</v>
      </c>
    </row>
    <row r="82" spans="1:46" s="172" customFormat="1" ht="11.25">
      <c r="A82" s="26" t="s">
        <v>525</v>
      </c>
      <c r="B82" s="187" t="s">
        <v>517</v>
      </c>
      <c r="C82" s="27">
        <v>0</v>
      </c>
      <c r="D82" s="28">
        <v>0</v>
      </c>
      <c r="E82" s="28">
        <v>0</v>
      </c>
      <c r="F82" s="28">
        <v>0</v>
      </c>
      <c r="G82" s="27">
        <v>0</v>
      </c>
      <c r="H82" s="28">
        <v>0</v>
      </c>
      <c r="I82" s="28">
        <v>0</v>
      </c>
      <c r="J82" s="29">
        <v>81.099999999999909</v>
      </c>
      <c r="K82" s="27">
        <v>82.5</v>
      </c>
      <c r="L82" s="28">
        <v>83.099999999999909</v>
      </c>
      <c r="M82" s="28">
        <v>96.5</v>
      </c>
      <c r="N82" s="29">
        <v>338.90000000000009</v>
      </c>
      <c r="O82" s="28">
        <v>352.09999999999991</v>
      </c>
      <c r="P82" s="28">
        <v>405.20000000000027</v>
      </c>
      <c r="Q82" s="28">
        <v>455.09999999999991</v>
      </c>
      <c r="R82" s="29">
        <v>531.30000000000018</v>
      </c>
      <c r="S82" s="28">
        <v>536.09999999999991</v>
      </c>
      <c r="T82" s="28">
        <v>530.40000000000009</v>
      </c>
      <c r="U82" s="28">
        <v>556.60000000000036</v>
      </c>
      <c r="V82" s="29">
        <v>640.90000000000009</v>
      </c>
      <c r="W82" s="28">
        <v>654.5</v>
      </c>
      <c r="X82" s="28">
        <v>690.80000000000018</v>
      </c>
      <c r="Y82" s="28">
        <v>741.5</v>
      </c>
      <c r="Z82" s="29">
        <v>789.40000000000055</v>
      </c>
      <c r="AA82" s="28">
        <v>789.30000000000018</v>
      </c>
      <c r="AB82" s="28">
        <v>752.69999999999982</v>
      </c>
      <c r="AC82" s="28">
        <v>785.70000000000027</v>
      </c>
      <c r="AD82" s="29">
        <v>930.89999999999964</v>
      </c>
      <c r="AE82" s="28">
        <v>958.4</v>
      </c>
      <c r="AF82" s="28">
        <v>974.4</v>
      </c>
      <c r="AG82" s="28">
        <v>1060.3</v>
      </c>
      <c r="AH82" s="29">
        <v>1107.5999999999999</v>
      </c>
      <c r="AI82" s="28">
        <v>1129.5999999999999</v>
      </c>
      <c r="AJ82" s="28">
        <v>1165.8</v>
      </c>
      <c r="AK82" s="28">
        <v>1169.4000000000001</v>
      </c>
      <c r="AL82" s="29">
        <v>1272.5</v>
      </c>
      <c r="AM82" s="28">
        <v>1260</v>
      </c>
      <c r="AN82" s="28">
        <v>1253</v>
      </c>
      <c r="AO82" s="28">
        <v>1233.8</v>
      </c>
      <c r="AP82" s="29">
        <v>1187</v>
      </c>
      <c r="AQ82" s="28">
        <v>1184.5999999999999</v>
      </c>
      <c r="AR82" s="28">
        <v>1166.0999999999999</v>
      </c>
      <c r="AS82" s="28">
        <v>1104.5999999999999</v>
      </c>
      <c r="AT82" s="29">
        <v>1026.7</v>
      </c>
    </row>
    <row r="83" spans="1:46" s="172" customFormat="1" ht="11.25">
      <c r="A83" s="26" t="s">
        <v>471</v>
      </c>
      <c r="B83" s="26" t="s">
        <v>431</v>
      </c>
      <c r="C83" s="27">
        <v>0</v>
      </c>
      <c r="D83" s="28">
        <v>0</v>
      </c>
      <c r="E83" s="28">
        <v>0</v>
      </c>
      <c r="F83" s="28">
        <v>0</v>
      </c>
      <c r="G83" s="27">
        <v>0</v>
      </c>
      <c r="H83" s="28">
        <v>0</v>
      </c>
      <c r="I83" s="28">
        <v>0</v>
      </c>
      <c r="J83" s="29">
        <v>1654</v>
      </c>
      <c r="K83" s="27">
        <v>3775.2</v>
      </c>
      <c r="L83" s="28">
        <v>3439.1</v>
      </c>
      <c r="M83" s="28">
        <v>3348.9</v>
      </c>
      <c r="N83" s="29">
        <v>3261.9</v>
      </c>
      <c r="O83" s="28">
        <v>3147.9</v>
      </c>
      <c r="P83" s="28">
        <v>3447.7</v>
      </c>
      <c r="Q83" s="28">
        <v>3425.1</v>
      </c>
      <c r="R83" s="29">
        <v>3268.5</v>
      </c>
      <c r="S83" s="28">
        <v>3215.6</v>
      </c>
      <c r="T83" s="28">
        <v>3189</v>
      </c>
      <c r="U83" s="28">
        <v>3786.2</v>
      </c>
      <c r="V83" s="29">
        <v>3872.6</v>
      </c>
      <c r="W83" s="28">
        <v>3680.7</v>
      </c>
      <c r="X83" s="28">
        <v>3758.2</v>
      </c>
      <c r="Y83" s="28">
        <v>3732.5</v>
      </c>
      <c r="Z83" s="29">
        <v>3779.7</v>
      </c>
      <c r="AA83" s="28">
        <v>3817.7</v>
      </c>
      <c r="AB83" s="28">
        <v>3794.3</v>
      </c>
      <c r="AC83" s="28">
        <v>3723.1</v>
      </c>
      <c r="AD83" s="29">
        <v>3685.8</v>
      </c>
      <c r="AE83" s="28">
        <v>3750.2</v>
      </c>
      <c r="AF83" s="28">
        <v>3723.5</v>
      </c>
      <c r="AG83" s="28">
        <v>3800.5</v>
      </c>
      <c r="AH83" s="29">
        <v>3923.9</v>
      </c>
      <c r="AI83" s="28">
        <v>3750.6</v>
      </c>
      <c r="AJ83" s="28">
        <v>3711.2</v>
      </c>
      <c r="AK83" s="28">
        <v>3793.6</v>
      </c>
      <c r="AL83" s="29">
        <v>3838.6</v>
      </c>
      <c r="AM83" s="28">
        <v>3853.4</v>
      </c>
      <c r="AN83" s="28">
        <v>3909.7</v>
      </c>
      <c r="AO83" s="28">
        <v>3822.7</v>
      </c>
      <c r="AP83" s="29">
        <v>3910.7</v>
      </c>
      <c r="AQ83" s="28">
        <v>3686.5</v>
      </c>
      <c r="AR83" s="28">
        <v>3589.8</v>
      </c>
      <c r="AS83" s="28">
        <v>3674.4</v>
      </c>
      <c r="AT83" s="29">
        <v>3564.8</v>
      </c>
    </row>
    <row r="84" spans="1:46" s="172" customFormat="1" ht="11.25">
      <c r="A84" s="26" t="s">
        <v>244</v>
      </c>
      <c r="B84" s="26" t="s">
        <v>77</v>
      </c>
      <c r="C84" s="27">
        <v>0</v>
      </c>
      <c r="D84" s="28">
        <v>0</v>
      </c>
      <c r="E84" s="28">
        <v>0</v>
      </c>
      <c r="F84" s="28">
        <v>0</v>
      </c>
      <c r="G84" s="27">
        <v>0</v>
      </c>
      <c r="H84" s="28">
        <v>0</v>
      </c>
      <c r="I84" s="28">
        <v>0</v>
      </c>
      <c r="J84" s="29">
        <v>0</v>
      </c>
      <c r="K84" s="27">
        <v>0</v>
      </c>
      <c r="L84" s="193">
        <v>0</v>
      </c>
      <c r="M84" s="193">
        <v>0</v>
      </c>
      <c r="N84" s="194">
        <v>0</v>
      </c>
      <c r="O84" s="193">
        <v>0</v>
      </c>
      <c r="P84" s="193">
        <v>0</v>
      </c>
      <c r="Q84" s="193">
        <v>0</v>
      </c>
      <c r="R84" s="194">
        <v>0</v>
      </c>
      <c r="S84" s="193">
        <v>0</v>
      </c>
      <c r="T84" s="193">
        <v>0</v>
      </c>
      <c r="U84" s="193">
        <v>0</v>
      </c>
      <c r="V84" s="194">
        <v>0</v>
      </c>
      <c r="W84" s="193">
        <v>0</v>
      </c>
      <c r="X84" s="193">
        <v>0</v>
      </c>
      <c r="Y84" s="193">
        <v>0</v>
      </c>
      <c r="Z84" s="194">
        <v>0</v>
      </c>
      <c r="AA84" s="193">
        <v>0</v>
      </c>
      <c r="AB84" s="193">
        <v>0</v>
      </c>
      <c r="AC84" s="193">
        <v>0</v>
      </c>
      <c r="AD84" s="194">
        <v>0</v>
      </c>
      <c r="AE84" s="193">
        <v>0</v>
      </c>
      <c r="AF84" s="193">
        <v>0</v>
      </c>
      <c r="AG84" s="193">
        <v>0</v>
      </c>
      <c r="AH84" s="194">
        <v>0</v>
      </c>
      <c r="AI84" s="28">
        <v>0</v>
      </c>
      <c r="AJ84" s="28">
        <v>0</v>
      </c>
      <c r="AK84" s="28">
        <v>0</v>
      </c>
      <c r="AL84" s="29">
        <v>0</v>
      </c>
      <c r="AM84" s="28">
        <v>0</v>
      </c>
      <c r="AN84" s="28">
        <v>0</v>
      </c>
      <c r="AO84" s="28">
        <v>0</v>
      </c>
      <c r="AP84" s="29">
        <v>0</v>
      </c>
      <c r="AQ84" s="28">
        <v>0</v>
      </c>
      <c r="AR84" s="28">
        <v>0</v>
      </c>
      <c r="AS84" s="28">
        <v>0</v>
      </c>
      <c r="AT84" s="29">
        <v>0</v>
      </c>
    </row>
    <row r="85" spans="1:46" s="172" customFormat="1" ht="11.25">
      <c r="A85" s="45" t="s">
        <v>254</v>
      </c>
      <c r="B85" s="45" t="s">
        <v>78</v>
      </c>
      <c r="C85" s="32">
        <f>SUM(C77,C80:C84)</f>
        <v>630.80000000000007</v>
      </c>
      <c r="D85" s="33">
        <f t="shared" ref="D85:AD85" si="98">SUM(D77,D80:D84)</f>
        <v>605.70000000000005</v>
      </c>
      <c r="E85" s="33">
        <f t="shared" si="98"/>
        <v>614</v>
      </c>
      <c r="F85" s="33">
        <f t="shared" si="98"/>
        <v>697.19999999999993</v>
      </c>
      <c r="G85" s="32">
        <f t="shared" si="98"/>
        <v>670</v>
      </c>
      <c r="H85" s="33">
        <f t="shared" si="98"/>
        <v>675</v>
      </c>
      <c r="I85" s="33">
        <f t="shared" si="98"/>
        <v>688.1</v>
      </c>
      <c r="J85" s="34">
        <f t="shared" si="98"/>
        <v>2709</v>
      </c>
      <c r="K85" s="32">
        <f t="shared" si="98"/>
        <v>4787.3</v>
      </c>
      <c r="L85" s="33">
        <f t="shared" si="98"/>
        <v>4481.7999999999993</v>
      </c>
      <c r="M85" s="33">
        <f t="shared" si="98"/>
        <v>4622.8</v>
      </c>
      <c r="N85" s="34">
        <f t="shared" si="98"/>
        <v>5906.1</v>
      </c>
      <c r="O85" s="32">
        <f t="shared" si="98"/>
        <v>5757.1</v>
      </c>
      <c r="P85" s="33">
        <f t="shared" si="98"/>
        <v>6242.6</v>
      </c>
      <c r="Q85" s="33">
        <f t="shared" si="98"/>
        <v>6359.5999999999995</v>
      </c>
      <c r="R85" s="34">
        <f t="shared" si="98"/>
        <v>6620.4</v>
      </c>
      <c r="S85" s="32">
        <f t="shared" si="98"/>
        <v>6540.9</v>
      </c>
      <c r="T85" s="33">
        <f t="shared" si="98"/>
        <v>6460.2</v>
      </c>
      <c r="U85" s="33">
        <f t="shared" si="98"/>
        <v>7234.4</v>
      </c>
      <c r="V85" s="34">
        <f t="shared" si="98"/>
        <v>7786.4</v>
      </c>
      <c r="W85" s="32">
        <f t="shared" si="98"/>
        <v>7732.2</v>
      </c>
      <c r="X85" s="33">
        <f t="shared" si="98"/>
        <v>7783.1</v>
      </c>
      <c r="Y85" s="33">
        <f t="shared" si="98"/>
        <v>7646.8</v>
      </c>
      <c r="Z85" s="34">
        <f t="shared" si="98"/>
        <v>7695.7000000000007</v>
      </c>
      <c r="AA85" s="32">
        <f t="shared" si="98"/>
        <v>7654.2000000000007</v>
      </c>
      <c r="AB85" s="33">
        <f t="shared" si="98"/>
        <v>7481.9</v>
      </c>
      <c r="AC85" s="33">
        <f t="shared" si="98"/>
        <v>7312.7</v>
      </c>
      <c r="AD85" s="34">
        <f t="shared" si="98"/>
        <v>7261.6999999999989</v>
      </c>
      <c r="AE85" s="33">
        <f t="shared" ref="AE85:AJ85" si="99">SUM(AE77,AE80:AE84)</f>
        <v>7309.5999999999995</v>
      </c>
      <c r="AF85" s="33">
        <f t="shared" si="99"/>
        <v>7254.6</v>
      </c>
      <c r="AG85" s="33">
        <f t="shared" si="99"/>
        <v>7409.2</v>
      </c>
      <c r="AH85" s="34">
        <f t="shared" si="99"/>
        <v>7725.8</v>
      </c>
      <c r="AI85" s="33">
        <f t="shared" si="99"/>
        <v>7534.1</v>
      </c>
      <c r="AJ85" s="33">
        <f t="shared" si="99"/>
        <v>7462.6</v>
      </c>
      <c r="AK85" s="33">
        <f t="shared" ref="AK85:AT85" si="100">SUM(AK77,AK80:AK84)</f>
        <v>7491.1</v>
      </c>
      <c r="AL85" s="34">
        <f t="shared" si="100"/>
        <v>7725.5</v>
      </c>
      <c r="AM85" s="33">
        <f t="shared" si="100"/>
        <v>7695.1</v>
      </c>
      <c r="AN85" s="33">
        <f t="shared" si="100"/>
        <v>7655.2000000000007</v>
      </c>
      <c r="AO85" s="33">
        <f t="shared" si="100"/>
        <v>7468.8</v>
      </c>
      <c r="AP85" s="34">
        <f t="shared" si="100"/>
        <v>7327.9</v>
      </c>
      <c r="AQ85" s="33">
        <f t="shared" si="100"/>
        <v>7067.1</v>
      </c>
      <c r="AR85" s="33">
        <f t="shared" si="100"/>
        <v>6824.3</v>
      </c>
      <c r="AS85" s="33">
        <f t="shared" si="100"/>
        <v>6741.1</v>
      </c>
      <c r="AT85" s="33">
        <f t="shared" si="100"/>
        <v>6413.3</v>
      </c>
    </row>
    <row r="86" spans="1:46" s="172" customFormat="1" ht="11.25">
      <c r="A86" s="26" t="s">
        <v>246</v>
      </c>
      <c r="B86" s="26" t="s">
        <v>79</v>
      </c>
      <c r="C86" s="27">
        <f>SUM(C87:C90)</f>
        <v>-34.700000000000003</v>
      </c>
      <c r="D86" s="28">
        <f t="shared" ref="D86:AI86" si="101">SUM(D87:D90)</f>
        <v>-32.6</v>
      </c>
      <c r="E86" s="28">
        <f t="shared" si="101"/>
        <v>-30.8</v>
      </c>
      <c r="F86" s="28">
        <f t="shared" si="101"/>
        <v>-29.5</v>
      </c>
      <c r="G86" s="27">
        <f t="shared" si="101"/>
        <v>-28.4</v>
      </c>
      <c r="H86" s="28">
        <f t="shared" si="101"/>
        <v>-26.9</v>
      </c>
      <c r="I86" s="28">
        <f t="shared" si="101"/>
        <v>-17.2</v>
      </c>
      <c r="J86" s="29">
        <f t="shared" si="101"/>
        <v>-17.899999999999999</v>
      </c>
      <c r="K86" s="27">
        <f t="shared" si="101"/>
        <v>-17.2</v>
      </c>
      <c r="L86" s="28">
        <f t="shared" si="101"/>
        <v>-7.5</v>
      </c>
      <c r="M86" s="28">
        <f t="shared" si="101"/>
        <v>-2.9</v>
      </c>
      <c r="N86" s="29">
        <f t="shared" si="101"/>
        <v>-5.4</v>
      </c>
      <c r="O86" s="27">
        <f t="shared" si="101"/>
        <v>-2.2000000000000002</v>
      </c>
      <c r="P86" s="28">
        <f t="shared" si="101"/>
        <v>-2.2000000000000002</v>
      </c>
      <c r="Q86" s="28">
        <f t="shared" si="101"/>
        <v>-2.2999999999999998</v>
      </c>
      <c r="R86" s="29">
        <f t="shared" si="101"/>
        <v>-1.5</v>
      </c>
      <c r="S86" s="27">
        <f t="shared" si="101"/>
        <v>-1.5</v>
      </c>
      <c r="T86" s="28">
        <f t="shared" si="101"/>
        <v>-1.4</v>
      </c>
      <c r="U86" s="28">
        <f t="shared" si="101"/>
        <v>-1.5</v>
      </c>
      <c r="V86" s="29">
        <f t="shared" si="101"/>
        <v>-1.4</v>
      </c>
      <c r="W86" s="27">
        <f t="shared" si="101"/>
        <v>-1.4</v>
      </c>
      <c r="X86" s="28">
        <f t="shared" si="101"/>
        <v>-1.5</v>
      </c>
      <c r="Y86" s="28">
        <f t="shared" si="101"/>
        <v>-0.79999999999999993</v>
      </c>
      <c r="Z86" s="29">
        <f t="shared" si="101"/>
        <v>-0.8</v>
      </c>
      <c r="AA86" s="27">
        <f t="shared" si="101"/>
        <v>-0.8</v>
      </c>
      <c r="AB86" s="28">
        <f t="shared" si="101"/>
        <v>-0.6</v>
      </c>
      <c r="AC86" s="28">
        <f t="shared" si="101"/>
        <v>-0.6</v>
      </c>
      <c r="AD86" s="29">
        <f t="shared" si="101"/>
        <v>-1</v>
      </c>
      <c r="AE86" s="27">
        <f t="shared" si="101"/>
        <v>-1.2</v>
      </c>
      <c r="AF86" s="28">
        <f t="shared" si="101"/>
        <v>-1.2</v>
      </c>
      <c r="AG86" s="28">
        <f t="shared" si="101"/>
        <v>-1.2</v>
      </c>
      <c r="AH86" s="29">
        <f t="shared" si="101"/>
        <v>-1.2</v>
      </c>
      <c r="AI86" s="28">
        <f t="shared" si="101"/>
        <v>-1.7000000000000002</v>
      </c>
      <c r="AJ86" s="28">
        <f t="shared" ref="AJ86:AT86" si="102">SUM(AJ87:AJ90)</f>
        <v>-1.5</v>
      </c>
      <c r="AK86" s="28">
        <f t="shared" si="102"/>
        <v>-1.5</v>
      </c>
      <c r="AL86" s="29">
        <f t="shared" si="102"/>
        <v>-1.5</v>
      </c>
      <c r="AM86" s="28">
        <f t="shared" si="102"/>
        <v>-1.5999999999999999</v>
      </c>
      <c r="AN86" s="28">
        <f t="shared" si="102"/>
        <v>-1.8</v>
      </c>
      <c r="AO86" s="28">
        <f>SUM(AO87:AO90)</f>
        <v>-1.9000000000000001</v>
      </c>
      <c r="AP86" s="29">
        <f t="shared" si="102"/>
        <v>-1.9000000000000001</v>
      </c>
      <c r="AQ86" s="28">
        <f t="shared" si="102"/>
        <v>-1.9</v>
      </c>
      <c r="AR86" s="28">
        <f t="shared" si="102"/>
        <v>-2</v>
      </c>
      <c r="AS86" s="28">
        <f t="shared" si="102"/>
        <v>-2</v>
      </c>
      <c r="AT86" s="28">
        <f t="shared" si="102"/>
        <v>-1.9</v>
      </c>
    </row>
    <row r="87" spans="1:46" s="173" customFormat="1" ht="11.25">
      <c r="A87" s="188" t="s">
        <v>465</v>
      </c>
      <c r="B87" s="125" t="s">
        <v>80</v>
      </c>
      <c r="C87" s="47">
        <v>-34.700000000000003</v>
      </c>
      <c r="D87" s="48">
        <v>-32.6</v>
      </c>
      <c r="E87" s="48">
        <v>-30.8</v>
      </c>
      <c r="F87" s="48">
        <v>-29.5</v>
      </c>
      <c r="G87" s="47">
        <v>-28.4</v>
      </c>
      <c r="H87" s="48">
        <v>-26.9</v>
      </c>
      <c r="I87" s="48">
        <v>-17.2</v>
      </c>
      <c r="J87" s="49">
        <v>-17.899999999999999</v>
      </c>
      <c r="K87" s="47">
        <v>-17.2</v>
      </c>
      <c r="L87" s="48">
        <v>-7.5</v>
      </c>
      <c r="M87" s="48">
        <v>-2.9</v>
      </c>
      <c r="N87" s="49">
        <v>-5.4</v>
      </c>
      <c r="O87" s="47">
        <v>-2.2000000000000002</v>
      </c>
      <c r="P87" s="48">
        <v>-2.2000000000000002</v>
      </c>
      <c r="Q87" s="48">
        <v>-2.2999999999999998</v>
      </c>
      <c r="R87" s="49">
        <v>-1.5</v>
      </c>
      <c r="S87" s="47">
        <v>-1.5</v>
      </c>
      <c r="T87" s="48">
        <v>-1.4</v>
      </c>
      <c r="U87" s="48">
        <v>-1.5</v>
      </c>
      <c r="V87" s="49">
        <v>-1.4</v>
      </c>
      <c r="W87" s="47">
        <v>-1.4</v>
      </c>
      <c r="X87" s="48">
        <v>-1.5</v>
      </c>
      <c r="Y87" s="48">
        <v>-0.7</v>
      </c>
      <c r="Z87" s="49">
        <v>-0.8</v>
      </c>
      <c r="AA87" s="47">
        <v>-0.8</v>
      </c>
      <c r="AB87" s="48">
        <v>-0.5</v>
      </c>
      <c r="AC87" s="48">
        <v>-0.5</v>
      </c>
      <c r="AD87" s="49">
        <v>-0.6</v>
      </c>
      <c r="AE87" s="47">
        <v>-0.79999999999999993</v>
      </c>
      <c r="AF87" s="48">
        <v>-0.79999999999999993</v>
      </c>
      <c r="AG87" s="48">
        <v>-0.79999999999999993</v>
      </c>
      <c r="AH87" s="49">
        <v>-0.7</v>
      </c>
      <c r="AI87" s="48">
        <v>-1.1000000000000001</v>
      </c>
      <c r="AJ87" s="48">
        <v>-0.9</v>
      </c>
      <c r="AK87" s="48">
        <v>-0.8</v>
      </c>
      <c r="AL87" s="49">
        <v>-0.7</v>
      </c>
      <c r="AM87" s="48">
        <v>-0.7</v>
      </c>
      <c r="AN87" s="48">
        <v>-0.8</v>
      </c>
      <c r="AO87" s="48">
        <v>-0.8</v>
      </c>
      <c r="AP87" s="49">
        <v>-0.8</v>
      </c>
      <c r="AQ87" s="48">
        <v>-0.7</v>
      </c>
      <c r="AR87" s="48">
        <v>-0.8</v>
      </c>
      <c r="AS87" s="48">
        <v>-0.8</v>
      </c>
      <c r="AT87" s="49">
        <v>-0.8</v>
      </c>
    </row>
    <row r="88" spans="1:46" s="173" customFormat="1" ht="11.25">
      <c r="A88" s="185" t="s">
        <v>467</v>
      </c>
      <c r="B88" s="185" t="s">
        <v>82</v>
      </c>
      <c r="C88" s="47">
        <v>0</v>
      </c>
      <c r="D88" s="48">
        <v>0</v>
      </c>
      <c r="E88" s="48">
        <v>0</v>
      </c>
      <c r="F88" s="48">
        <v>0</v>
      </c>
      <c r="G88" s="47">
        <v>0</v>
      </c>
      <c r="H88" s="48">
        <v>0</v>
      </c>
      <c r="I88" s="48">
        <v>0</v>
      </c>
      <c r="J88" s="49">
        <v>0</v>
      </c>
      <c r="K88" s="47">
        <v>0</v>
      </c>
      <c r="L88" s="48">
        <v>0</v>
      </c>
      <c r="M88" s="48">
        <v>0</v>
      </c>
      <c r="N88" s="49">
        <v>0</v>
      </c>
      <c r="O88" s="47">
        <v>0</v>
      </c>
      <c r="P88" s="48">
        <v>0</v>
      </c>
      <c r="Q88" s="48">
        <v>0</v>
      </c>
      <c r="R88" s="49">
        <v>0</v>
      </c>
      <c r="S88" s="47">
        <v>0</v>
      </c>
      <c r="T88" s="48">
        <v>0</v>
      </c>
      <c r="U88" s="48">
        <v>0</v>
      </c>
      <c r="V88" s="49">
        <v>0</v>
      </c>
      <c r="W88" s="47">
        <v>0</v>
      </c>
      <c r="X88" s="48">
        <v>0</v>
      </c>
      <c r="Y88" s="48">
        <v>-0.1</v>
      </c>
      <c r="Z88" s="49">
        <v>0</v>
      </c>
      <c r="AA88" s="47">
        <v>0</v>
      </c>
      <c r="AB88" s="48">
        <v>0</v>
      </c>
      <c r="AC88" s="48">
        <v>0</v>
      </c>
      <c r="AD88" s="49">
        <v>0</v>
      </c>
      <c r="AE88" s="47">
        <v>0</v>
      </c>
      <c r="AF88" s="48">
        <v>0</v>
      </c>
      <c r="AG88" s="48">
        <v>0</v>
      </c>
      <c r="AH88" s="49">
        <v>0</v>
      </c>
      <c r="AI88" s="48">
        <v>0</v>
      </c>
      <c r="AJ88" s="48">
        <v>0</v>
      </c>
      <c r="AK88" s="48">
        <v>0</v>
      </c>
      <c r="AL88" s="49">
        <v>0</v>
      </c>
      <c r="AM88" s="48">
        <v>0</v>
      </c>
      <c r="AN88" s="48">
        <v>0</v>
      </c>
      <c r="AO88" s="48">
        <v>0</v>
      </c>
      <c r="AP88" s="49">
        <v>0</v>
      </c>
      <c r="AQ88" s="48">
        <v>-0.1</v>
      </c>
      <c r="AR88" s="48">
        <v>-0.1</v>
      </c>
      <c r="AS88" s="48">
        <v>-0.1</v>
      </c>
      <c r="AT88" s="49">
        <v>-0.1</v>
      </c>
    </row>
    <row r="89" spans="1:46" s="173" customFormat="1" ht="11.25">
      <c r="A89" s="185" t="s">
        <v>526</v>
      </c>
      <c r="B89" s="195" t="s">
        <v>518</v>
      </c>
      <c r="C89" s="47">
        <v>0</v>
      </c>
      <c r="D89" s="48">
        <v>0</v>
      </c>
      <c r="E89" s="48">
        <v>0</v>
      </c>
      <c r="F89" s="48">
        <v>0</v>
      </c>
      <c r="G89" s="47">
        <v>0</v>
      </c>
      <c r="H89" s="48">
        <v>0</v>
      </c>
      <c r="I89" s="48">
        <v>0</v>
      </c>
      <c r="J89" s="49">
        <v>0</v>
      </c>
      <c r="K89" s="47">
        <v>0</v>
      </c>
      <c r="L89" s="48">
        <v>0</v>
      </c>
      <c r="M89" s="48">
        <v>0</v>
      </c>
      <c r="N89" s="49">
        <v>0</v>
      </c>
      <c r="O89" s="47">
        <v>0</v>
      </c>
      <c r="P89" s="48">
        <v>0</v>
      </c>
      <c r="Q89" s="48">
        <v>0</v>
      </c>
      <c r="R89" s="49">
        <v>0</v>
      </c>
      <c r="S89" s="47">
        <v>0</v>
      </c>
      <c r="T89" s="48">
        <v>0</v>
      </c>
      <c r="U89" s="48">
        <v>0</v>
      </c>
      <c r="V89" s="49">
        <v>0</v>
      </c>
      <c r="W89" s="47">
        <v>0</v>
      </c>
      <c r="X89" s="48">
        <v>0</v>
      </c>
      <c r="Y89" s="48">
        <v>0</v>
      </c>
      <c r="Z89" s="49">
        <v>0</v>
      </c>
      <c r="AA89" s="47">
        <v>0</v>
      </c>
      <c r="AB89" s="48">
        <v>0</v>
      </c>
      <c r="AC89" s="48">
        <v>0</v>
      </c>
      <c r="AD89" s="49">
        <v>0</v>
      </c>
      <c r="AE89" s="47">
        <v>0</v>
      </c>
      <c r="AF89" s="48">
        <v>0</v>
      </c>
      <c r="AG89" s="48">
        <v>0</v>
      </c>
      <c r="AH89" s="49">
        <v>0</v>
      </c>
      <c r="AI89" s="48">
        <v>-0.2</v>
      </c>
      <c r="AJ89" s="48">
        <v>-0.2</v>
      </c>
      <c r="AK89" s="48">
        <v>-0.2</v>
      </c>
      <c r="AL89" s="49">
        <v>-0.3</v>
      </c>
      <c r="AM89" s="48">
        <v>-0.19999999999999998</v>
      </c>
      <c r="AN89" s="48">
        <v>-0.3</v>
      </c>
      <c r="AO89" s="48">
        <v>-0.4</v>
      </c>
      <c r="AP89" s="49">
        <v>-0.4</v>
      </c>
      <c r="AQ89" s="48">
        <v>-0.4</v>
      </c>
      <c r="AR89" s="48">
        <v>-0.4</v>
      </c>
      <c r="AS89" s="48">
        <v>-0.4</v>
      </c>
      <c r="AT89" s="49">
        <v>-0.3</v>
      </c>
    </row>
    <row r="90" spans="1:46" s="173" customFormat="1" ht="11.25">
      <c r="A90" s="185" t="s">
        <v>510</v>
      </c>
      <c r="B90" s="185" t="s">
        <v>504</v>
      </c>
      <c r="C90" s="47">
        <v>0</v>
      </c>
      <c r="D90" s="48">
        <v>0</v>
      </c>
      <c r="E90" s="48">
        <v>0</v>
      </c>
      <c r="F90" s="48">
        <v>0</v>
      </c>
      <c r="G90" s="47">
        <v>0</v>
      </c>
      <c r="H90" s="48">
        <v>0</v>
      </c>
      <c r="I90" s="48">
        <v>0</v>
      </c>
      <c r="J90" s="49">
        <v>0</v>
      </c>
      <c r="K90" s="47">
        <v>0</v>
      </c>
      <c r="L90" s="48">
        <v>0</v>
      </c>
      <c r="M90" s="48">
        <v>0</v>
      </c>
      <c r="N90" s="49">
        <v>0</v>
      </c>
      <c r="O90" s="47">
        <v>0</v>
      </c>
      <c r="P90" s="48">
        <v>0</v>
      </c>
      <c r="Q90" s="48">
        <v>0</v>
      </c>
      <c r="R90" s="49">
        <v>0</v>
      </c>
      <c r="S90" s="47">
        <v>0</v>
      </c>
      <c r="T90" s="48">
        <v>0</v>
      </c>
      <c r="U90" s="48">
        <v>0</v>
      </c>
      <c r="V90" s="49">
        <v>0</v>
      </c>
      <c r="W90" s="47">
        <v>0</v>
      </c>
      <c r="X90" s="48">
        <v>0</v>
      </c>
      <c r="Y90" s="48">
        <v>0</v>
      </c>
      <c r="Z90" s="49">
        <v>0</v>
      </c>
      <c r="AA90" s="47">
        <v>0</v>
      </c>
      <c r="AB90" s="48">
        <v>-0.1</v>
      </c>
      <c r="AC90" s="48">
        <v>-0.1</v>
      </c>
      <c r="AD90" s="49">
        <v>-0.4</v>
      </c>
      <c r="AE90" s="47">
        <v>-0.4</v>
      </c>
      <c r="AF90" s="48">
        <v>-0.4</v>
      </c>
      <c r="AG90" s="48">
        <v>-0.4</v>
      </c>
      <c r="AH90" s="49">
        <v>-0.5</v>
      </c>
      <c r="AI90" s="48">
        <v>-0.4</v>
      </c>
      <c r="AJ90" s="48">
        <v>-0.4</v>
      </c>
      <c r="AK90" s="48">
        <v>-0.5</v>
      </c>
      <c r="AL90" s="49">
        <v>-0.5</v>
      </c>
      <c r="AM90" s="48">
        <v>-0.7</v>
      </c>
      <c r="AN90" s="48">
        <v>-0.7</v>
      </c>
      <c r="AO90" s="48">
        <v>-0.7</v>
      </c>
      <c r="AP90" s="49">
        <v>-0.7</v>
      </c>
      <c r="AQ90" s="48">
        <v>-0.7</v>
      </c>
      <c r="AR90" s="48">
        <v>-0.7</v>
      </c>
      <c r="AS90" s="48">
        <v>-0.7</v>
      </c>
      <c r="AT90" s="49">
        <v>-0.7</v>
      </c>
    </row>
    <row r="91" spans="1:46" s="176" customFormat="1" ht="18.600000000000001" customHeight="1">
      <c r="A91" s="51" t="s">
        <v>255</v>
      </c>
      <c r="B91" s="51" t="s">
        <v>87</v>
      </c>
      <c r="C91" s="37">
        <f>C85+C86</f>
        <v>596.1</v>
      </c>
      <c r="D91" s="38">
        <f t="shared" ref="D91:X91" si="103">D85+D86</f>
        <v>573.1</v>
      </c>
      <c r="E91" s="38">
        <f t="shared" si="103"/>
        <v>583.20000000000005</v>
      </c>
      <c r="F91" s="38">
        <f t="shared" si="103"/>
        <v>667.69999999999993</v>
      </c>
      <c r="G91" s="37">
        <f t="shared" si="103"/>
        <v>641.6</v>
      </c>
      <c r="H91" s="38">
        <f t="shared" si="103"/>
        <v>648.1</v>
      </c>
      <c r="I91" s="38">
        <f t="shared" si="103"/>
        <v>670.9</v>
      </c>
      <c r="J91" s="39">
        <f t="shared" si="103"/>
        <v>2691.1</v>
      </c>
      <c r="K91" s="37">
        <f t="shared" si="103"/>
        <v>4770.1000000000004</v>
      </c>
      <c r="L91" s="38">
        <f t="shared" si="103"/>
        <v>4474.2999999999993</v>
      </c>
      <c r="M91" s="38">
        <f t="shared" si="103"/>
        <v>4619.9000000000005</v>
      </c>
      <c r="N91" s="39">
        <f t="shared" si="103"/>
        <v>5900.7000000000007</v>
      </c>
      <c r="O91" s="37">
        <f t="shared" si="103"/>
        <v>5754.9000000000005</v>
      </c>
      <c r="P91" s="38">
        <f t="shared" si="103"/>
        <v>6240.4000000000005</v>
      </c>
      <c r="Q91" s="38">
        <f t="shared" si="103"/>
        <v>6357.2999999999993</v>
      </c>
      <c r="R91" s="39">
        <f t="shared" si="103"/>
        <v>6618.9</v>
      </c>
      <c r="S91" s="37">
        <f t="shared" si="103"/>
        <v>6539.4</v>
      </c>
      <c r="T91" s="38">
        <f t="shared" si="103"/>
        <v>6458.8</v>
      </c>
      <c r="U91" s="38">
        <f t="shared" si="103"/>
        <v>7232.9</v>
      </c>
      <c r="V91" s="39">
        <f t="shared" si="103"/>
        <v>7785</v>
      </c>
      <c r="W91" s="37">
        <f t="shared" si="103"/>
        <v>7730.8</v>
      </c>
      <c r="X91" s="38">
        <f t="shared" si="103"/>
        <v>7781.6</v>
      </c>
      <c r="Y91" s="38">
        <f t="shared" ref="Y91:AD91" si="104">Y85+Y86</f>
        <v>7646</v>
      </c>
      <c r="Z91" s="39">
        <f t="shared" si="104"/>
        <v>7694.9000000000005</v>
      </c>
      <c r="AA91" s="37">
        <f t="shared" si="104"/>
        <v>7653.4000000000005</v>
      </c>
      <c r="AB91" s="38">
        <f t="shared" si="104"/>
        <v>7481.2999999999993</v>
      </c>
      <c r="AC91" s="38">
        <f t="shared" si="104"/>
        <v>7312.0999999999995</v>
      </c>
      <c r="AD91" s="39">
        <f t="shared" si="104"/>
        <v>7260.6999999999989</v>
      </c>
      <c r="AE91" s="37">
        <f t="shared" ref="AE91:AJ91" si="105">AE85+AE86</f>
        <v>7308.4</v>
      </c>
      <c r="AF91" s="38">
        <f t="shared" si="105"/>
        <v>7253.4000000000005</v>
      </c>
      <c r="AG91" s="38">
        <f t="shared" si="105"/>
        <v>7408</v>
      </c>
      <c r="AH91" s="39">
        <f t="shared" si="105"/>
        <v>7724.6</v>
      </c>
      <c r="AI91" s="38">
        <f t="shared" si="105"/>
        <v>7532.4000000000005</v>
      </c>
      <c r="AJ91" s="38">
        <f t="shared" si="105"/>
        <v>7461.1</v>
      </c>
      <c r="AK91" s="38">
        <f t="shared" ref="AK91:AT91" si="106">AK85+AK86</f>
        <v>7489.6</v>
      </c>
      <c r="AL91" s="39">
        <f t="shared" si="106"/>
        <v>7724</v>
      </c>
      <c r="AM91" s="38">
        <f t="shared" si="106"/>
        <v>7693.5</v>
      </c>
      <c r="AN91" s="38">
        <f t="shared" si="106"/>
        <v>7653.4000000000005</v>
      </c>
      <c r="AO91" s="38">
        <f t="shared" si="106"/>
        <v>7466.9000000000005</v>
      </c>
      <c r="AP91" s="39">
        <f t="shared" si="106"/>
        <v>7326</v>
      </c>
      <c r="AQ91" s="38">
        <f t="shared" si="106"/>
        <v>7065.2000000000007</v>
      </c>
      <c r="AR91" s="38">
        <f t="shared" si="106"/>
        <v>6822.3</v>
      </c>
      <c r="AS91" s="38">
        <f t="shared" si="106"/>
        <v>6739.1</v>
      </c>
      <c r="AT91" s="38">
        <f t="shared" si="106"/>
        <v>6411.4000000000005</v>
      </c>
    </row>
    <row r="96" spans="1:46">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G96" s="19"/>
      <c r="AH96" s="19"/>
      <c r="AI96" s="19"/>
      <c r="AJ96" s="19"/>
      <c r="AK96" s="19"/>
      <c r="AL96" s="19"/>
      <c r="AM96" s="19"/>
      <c r="AN96" s="19"/>
      <c r="AO96" s="19"/>
      <c r="AP96" s="19"/>
      <c r="AQ96" s="19"/>
      <c r="AS96" s="19"/>
      <c r="AT96" s="19"/>
    </row>
    <row r="97" spans="3:46">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G97" s="19"/>
      <c r="AH97" s="19"/>
      <c r="AI97" s="19"/>
      <c r="AJ97" s="19"/>
      <c r="AK97" s="19"/>
      <c r="AL97" s="19"/>
      <c r="AM97" s="19"/>
      <c r="AN97" s="19"/>
      <c r="AO97" s="19"/>
      <c r="AP97" s="19"/>
      <c r="AQ97" s="19"/>
      <c r="AS97" s="19"/>
      <c r="AT97" s="19"/>
    </row>
  </sheetData>
  <mergeCells count="13">
    <mergeCell ref="A2:A3"/>
    <mergeCell ref="B2:B3"/>
    <mergeCell ref="C2:F2"/>
    <mergeCell ref="G2:J2"/>
    <mergeCell ref="K2:N2"/>
    <mergeCell ref="AI2:AL2"/>
    <mergeCell ref="O2:R2"/>
    <mergeCell ref="AE2:AH2"/>
    <mergeCell ref="AQ2:AT2"/>
    <mergeCell ref="AA2:AD2"/>
    <mergeCell ref="W2:Z2"/>
    <mergeCell ref="S2:V2"/>
    <mergeCell ref="AM2:AP2"/>
  </mergeCells>
  <printOptions horizontalCentered="1"/>
  <pageMargins left="0.25" right="0.25" top="0.75" bottom="0.75" header="0.3" footer="0.3"/>
  <pageSetup paperSize="9" scale="31" orientation="landscape" r:id="rId1"/>
  <headerFooter alignWithMargins="0">
    <oddHeader xml:space="preserve">&amp;C&amp;"Times New Roman,Kursywa"&amp;12
</oddHeader>
  </headerFooter>
  <ignoredErrors>
    <ignoredError sqref="D30:E34 D36:E36 D38:E42 F38:Z42 F36:Z36 F30:Z34 F37:AD37 AA30:AD34 AA36:AD36 F43:AD62 AA38:AD42 AE80:AE83 AE64:AE65 AE30 AE38:AE41 AF5 AE69:AE72 AE74:AE77 AE36 AE43:AE62 F91:AD91 F70:AB70 AD70 AF36:AF39 AF91:AF95 AE67 F67:AD69 F66:AC66 AF64:AF65 F64:AD65 F63:AC63 AG91:AH96 AF67:AF77 F71:AD77 F87:AA88 AI91 AF41:AF62 AF30:AF34 AE32:AE34 AE79 AF79:AF83 F79:AD83 F78:K78 AE85 AF85 F85:AD85 F84:K84 AG85:AH85 AG79:AH83 AG30:AH34 AI30:AI34 AI41:AI86 AG41:AH77 AI36:AI39 AG36:AH39 AG35:AL35 AG40:AL40 AJ36:AL36 AG87:AL90 AJ41:AL77 AG78:AH78 AJ78:AL86 AJ30:AL34 AG84:AH84 AG86:AH86 AJ38:AL39 AJ37:AK37" formulaRange="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19</vt:i4>
      </vt:variant>
    </vt:vector>
  </HeadingPairs>
  <TitlesOfParts>
    <vt:vector size="38" baseType="lpstr">
      <vt:lpstr>Kluczowe informacje_Key data</vt:lpstr>
      <vt:lpstr>RZiS_P&amp;L</vt:lpstr>
      <vt:lpstr>RZiS B. Korp._P&amp;L Corporate</vt:lpstr>
      <vt:lpstr>RZiS B. Detaliczna_P&amp;L Retail</vt:lpstr>
      <vt:lpstr>Wynik odsetkowy_Interest income</vt:lpstr>
      <vt:lpstr>Marża odsetkowa_NIM</vt:lpstr>
      <vt:lpstr>Wynik prowizyjny_F&amp;C income</vt:lpstr>
      <vt:lpstr>Pozost. przychody_Other income</vt:lpstr>
      <vt:lpstr>Koszty działania_Operating cost</vt:lpstr>
      <vt:lpstr>Koszty ryzyka_Cost of risk</vt:lpstr>
      <vt:lpstr>Bilans_BS</vt:lpstr>
      <vt:lpstr>Kredyty_loans</vt:lpstr>
      <vt:lpstr>Jakość portfela_Portf. quality</vt:lpstr>
      <vt:lpstr>Aktywa finans_Financial assets</vt:lpstr>
      <vt:lpstr>Depozyty_Deposits</vt:lpstr>
      <vt:lpstr>Łączny współ kap_TCR_GROUP</vt:lpstr>
      <vt:lpstr>Pozostałe informacje_other info</vt:lpstr>
      <vt:lpstr>Depozyty i zobow_Deposits_old</vt:lpstr>
      <vt:lpstr>Kredyty_loans_old</vt:lpstr>
      <vt:lpstr>'Aktywa finans_Financial assets'!Print_Area</vt:lpstr>
      <vt:lpstr>Bilans_BS!Print_Area</vt:lpstr>
      <vt:lpstr>'Depozyty i zobow_Deposits_old'!Print_Area</vt:lpstr>
      <vt:lpstr>Depozyty_Deposits!Print_Area</vt:lpstr>
      <vt:lpstr>'Jakość portfela_Portf. quality'!Print_Area</vt:lpstr>
      <vt:lpstr>'Kluczowe informacje_Key data'!Print_Area</vt:lpstr>
      <vt:lpstr>'Koszty działania_Operating cost'!Print_Area</vt:lpstr>
      <vt:lpstr>'Koszty ryzyka_Cost of risk'!Print_Area</vt:lpstr>
      <vt:lpstr>Kredyty_loans!Print_Area</vt:lpstr>
      <vt:lpstr>Kredyty_loans_old!Print_Area</vt:lpstr>
      <vt:lpstr>'Łączny współ kap_TCR_GROUP'!Print_Area</vt:lpstr>
      <vt:lpstr>'Marża odsetkowa_NIM'!Print_Area</vt:lpstr>
      <vt:lpstr>'Pozost. przychody_Other income'!Print_Area</vt:lpstr>
      <vt:lpstr>'Pozostałe informacje_other info'!Print_Area</vt:lpstr>
      <vt:lpstr>'RZiS B. Detaliczna_P&amp;L Retail'!Print_Area</vt:lpstr>
      <vt:lpstr>'RZiS B. Korp._P&amp;L Corporate'!Print_Area</vt:lpstr>
      <vt:lpstr>'RZiS_P&amp;L'!Print_Area</vt:lpstr>
      <vt:lpstr>'Wynik odsetkowy_Interest income'!Print_Area</vt:lpstr>
      <vt:lpstr>'Wynik prowizyjny_F&amp;C income'!Print_Area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2016-05-09T19:54:26Z</dcterms:created>
  <dcterms:modified xsi:type="dcterms:W3CDTF">2021-03-29T08:27:51Z</dcterms:modified>
</cp:coreProperties>
</file>